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nviolentpeaceforce-my.sharepoint.com/personal/mabubaker_nonviolentpeaceforce_org/Documents/Desktop/Global Dutch Financial report/"/>
    </mc:Choice>
  </mc:AlternateContent>
  <xr:revisionPtr revIDLastSave="0" documentId="8_{76D418FB-97A6-43EC-A177-CC33627C0E21}" xr6:coauthVersionLast="47" xr6:coauthVersionMax="47" xr10:uidLastSave="{00000000-0000-0000-0000-000000000000}"/>
  <bookViews>
    <workbookView xWindow="-120" yWindow="-120" windowWidth="51840" windowHeight="21120" tabRatio="955" activeTab="2" xr2:uid="{00000000-000D-0000-FFFF-FFFF00000000}"/>
  </bookViews>
  <sheets>
    <sheet name="1. Model budget by year" sheetId="13" r:id="rId1"/>
    <sheet name="2. Model budget by result" sheetId="14" r:id="rId2"/>
    <sheet name="3. Model budget by country" sheetId="15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9" i="15" l="1"/>
  <c r="E12" i="13"/>
  <c r="E9" i="13"/>
  <c r="E14" i="13"/>
  <c r="E13" i="13"/>
  <c r="E16" i="13"/>
  <c r="E8" i="13"/>
  <c r="E7" i="13"/>
  <c r="AC10" i="15"/>
  <c r="AB10" i="15"/>
  <c r="AA10" i="15"/>
  <c r="V10" i="15"/>
  <c r="T10" i="15"/>
  <c r="O10" i="15"/>
  <c r="J10" i="15"/>
  <c r="AE9" i="15"/>
  <c r="AA9" i="15"/>
  <c r="T9" i="15"/>
  <c r="O9" i="15"/>
  <c r="J9" i="15"/>
  <c r="E9" i="15"/>
  <c r="I35" i="14"/>
  <c r="I24" i="14"/>
  <c r="I28" i="14"/>
  <c r="I23" i="14"/>
  <c r="I20" i="14"/>
  <c r="D28" i="14"/>
  <c r="D24" i="14"/>
  <c r="J18" i="14"/>
  <c r="J16" i="14"/>
  <c r="I17" i="14"/>
  <c r="I18" i="14"/>
  <c r="I16" i="14"/>
  <c r="I15" i="14"/>
  <c r="I14" i="14"/>
  <c r="I13" i="14"/>
  <c r="I9" i="14"/>
  <c r="I8" i="14"/>
  <c r="I7" i="14"/>
  <c r="E16" i="14"/>
  <c r="D18" i="14"/>
  <c r="D17" i="14"/>
  <c r="D16" i="14"/>
  <c r="D15" i="14"/>
  <c r="D14" i="14"/>
  <c r="D13" i="14"/>
  <c r="E8" i="14"/>
  <c r="D9" i="14"/>
  <c r="D7" i="14"/>
  <c r="D8" i="14"/>
  <c r="Z9" i="15"/>
  <c r="I28" i="15"/>
  <c r="I29" i="15" s="1"/>
  <c r="D28" i="15"/>
  <c r="D29" i="15" s="1"/>
  <c r="D9" i="15" s="1"/>
  <c r="D25" i="15"/>
  <c r="H24" i="15"/>
  <c r="J24" i="15" s="1"/>
  <c r="H23" i="15"/>
  <c r="J23" i="15" s="1"/>
  <c r="H22" i="15"/>
  <c r="J22" i="15" s="1"/>
  <c r="H21" i="15"/>
  <c r="J21" i="15" s="1"/>
  <c r="H20" i="15"/>
  <c r="J20" i="15" s="1"/>
  <c r="H19" i="15"/>
  <c r="J19" i="15" s="1"/>
  <c r="I18" i="15"/>
  <c r="I25" i="15" s="1"/>
  <c r="G18" i="15"/>
  <c r="H18" i="15" s="1"/>
  <c r="G17" i="15"/>
  <c r="F17" i="15"/>
  <c r="F28" i="15" s="1"/>
  <c r="F29" i="15" s="1"/>
  <c r="N9" i="15" s="1"/>
  <c r="E17" i="15"/>
  <c r="E28" i="15" s="1"/>
  <c r="E29" i="15" s="1"/>
  <c r="S9" i="15" s="1"/>
  <c r="AC9" i="15" l="1"/>
  <c r="AB9" i="15"/>
  <c r="D20" i="14"/>
  <c r="D23" i="14" s="1"/>
  <c r="G25" i="15"/>
  <c r="J18" i="15"/>
  <c r="H17" i="15"/>
  <c r="J17" i="15" s="1"/>
  <c r="J28" i="15" s="1"/>
  <c r="J29" i="15" s="1"/>
  <c r="G28" i="15"/>
  <c r="G29" i="15" s="1"/>
  <c r="I9" i="15" s="1"/>
  <c r="E25" i="15"/>
  <c r="F25" i="15"/>
  <c r="H28" i="15" l="1"/>
  <c r="H29" i="15" s="1"/>
  <c r="H25" i="15"/>
  <c r="J25" i="15" s="1"/>
  <c r="J7" i="14" l="1"/>
  <c r="E7" i="14"/>
  <c r="J8" i="14"/>
  <c r="J9" i="14"/>
  <c r="E9" i="14"/>
  <c r="E13" i="14"/>
  <c r="J13" i="14"/>
  <c r="E14" i="14"/>
  <c r="J14" i="14"/>
  <c r="E15" i="14"/>
  <c r="J15" i="14"/>
  <c r="E18" i="14"/>
  <c r="J20" i="14" l="1"/>
  <c r="E20" i="14"/>
  <c r="E23" i="14" s="1"/>
  <c r="E24" i="14" s="1"/>
  <c r="E28" i="14" s="1"/>
  <c r="E32" i="14" s="1"/>
  <c r="G7" i="14"/>
  <c r="L6" i="14"/>
  <c r="J23" i="14" l="1"/>
  <c r="J24" i="14" s="1"/>
  <c r="J28" i="14" s="1"/>
  <c r="J32" i="14" s="1"/>
  <c r="Z10" i="15"/>
  <c r="S10" i="15"/>
  <c r="U10" i="15" s="1"/>
  <c r="N10" i="15"/>
  <c r="Q10" i="15" s="1"/>
  <c r="I10" i="15"/>
  <c r="L10" i="15" s="1"/>
  <c r="E10" i="15"/>
  <c r="D10" i="15"/>
  <c r="V9" i="15"/>
  <c r="U9" i="15"/>
  <c r="Q9" i="15"/>
  <c r="P9" i="15"/>
  <c r="L9" i="15"/>
  <c r="K9" i="15"/>
  <c r="G9" i="15"/>
  <c r="F9" i="15"/>
  <c r="I32" i="14"/>
  <c r="D32" i="14"/>
  <c r="L31" i="14"/>
  <c r="G31" i="14"/>
  <c r="F31" i="14"/>
  <c r="L27" i="14"/>
  <c r="K27" i="14"/>
  <c r="G27" i="14"/>
  <c r="F27" i="14"/>
  <c r="K25" i="14"/>
  <c r="F23" i="14"/>
  <c r="K19" i="14"/>
  <c r="K18" i="14"/>
  <c r="F18" i="14"/>
  <c r="K17" i="14"/>
  <c r="F17" i="14"/>
  <c r="K16" i="14"/>
  <c r="F16" i="14"/>
  <c r="K15" i="14"/>
  <c r="F15" i="14"/>
  <c r="K14" i="14"/>
  <c r="F14" i="14"/>
  <c r="L13" i="14"/>
  <c r="K13" i="14"/>
  <c r="K20" i="14" s="1"/>
  <c r="G13" i="14"/>
  <c r="F13" i="14"/>
  <c r="F20" i="14" s="1"/>
  <c r="F12" i="14"/>
  <c r="I11" i="14"/>
  <c r="I21" i="14" s="1"/>
  <c r="D11" i="14"/>
  <c r="D21" i="14" s="1"/>
  <c r="K10" i="14"/>
  <c r="F10" i="14"/>
  <c r="K9" i="14"/>
  <c r="F9" i="14"/>
  <c r="K8" i="14"/>
  <c r="F8" i="14"/>
  <c r="B8" i="14"/>
  <c r="K7" i="14"/>
  <c r="F7" i="14"/>
  <c r="B7" i="14"/>
  <c r="E42" i="13"/>
  <c r="D42" i="13"/>
  <c r="F41" i="13"/>
  <c r="F42" i="13" s="1"/>
  <c r="F40" i="13"/>
  <c r="F39" i="13"/>
  <c r="F38" i="13"/>
  <c r="F37" i="13"/>
  <c r="F36" i="13"/>
  <c r="F35" i="13"/>
  <c r="F34" i="13"/>
  <c r="F33" i="13"/>
  <c r="F28" i="13"/>
  <c r="G25" i="13"/>
  <c r="F25" i="13"/>
  <c r="F20" i="13"/>
  <c r="G20" i="13" s="1"/>
  <c r="D18" i="13"/>
  <c r="D21" i="13" s="1"/>
  <c r="D22" i="13" s="1"/>
  <c r="D26" i="13" s="1"/>
  <c r="F17" i="13"/>
  <c r="F16" i="13"/>
  <c r="F15" i="13"/>
  <c r="F14" i="13"/>
  <c r="F13" i="13"/>
  <c r="G12" i="13"/>
  <c r="F12" i="13"/>
  <c r="F10" i="13"/>
  <c r="F9" i="13"/>
  <c r="F8" i="13"/>
  <c r="F24" i="14" l="1"/>
  <c r="F28" i="14" s="1"/>
  <c r="F32" i="14" s="1"/>
  <c r="K23" i="14"/>
  <c r="K24" i="14" s="1"/>
  <c r="K28" i="14" s="1"/>
  <c r="K32" i="14" s="1"/>
  <c r="L23" i="14"/>
  <c r="G10" i="15"/>
  <c r="F10" i="15"/>
  <c r="G7" i="13"/>
  <c r="I25" i="14"/>
  <c r="I29" i="14"/>
  <c r="D29" i="13"/>
  <c r="D30" i="13" s="1"/>
  <c r="D29" i="14"/>
  <c r="D25" i="14"/>
  <c r="K10" i="15"/>
  <c r="P10" i="15"/>
  <c r="G23" i="14"/>
  <c r="X10" i="15" l="1"/>
  <c r="AE10" i="15" s="1"/>
  <c r="F7" i="13"/>
  <c r="F18" i="13" s="1"/>
  <c r="E18" i="13"/>
  <c r="E21" i="13" s="1"/>
  <c r="E22" i="13" l="1"/>
  <c r="E26" i="13" s="1"/>
  <c r="E29" i="13" s="1"/>
  <c r="G21" i="13"/>
  <c r="F21" i="13"/>
  <c r="F22" i="13" s="1"/>
  <c r="F26" i="13" s="1"/>
  <c r="G29" i="13" l="1"/>
  <c r="F29" i="13"/>
  <c r="F30" i="13" s="1"/>
  <c r="E30" i="13"/>
</calcChain>
</file>

<file path=xl/sharedStrings.xml><?xml version="1.0" encoding="utf-8"?>
<sst xmlns="http://schemas.openxmlformats.org/spreadsheetml/2006/main" count="317" uniqueCount="160">
  <si>
    <t>Non-country specific expenses</t>
  </si>
  <si>
    <t>Sudan</t>
  </si>
  <si>
    <t>Iraq</t>
  </si>
  <si>
    <t>DRC</t>
  </si>
  <si>
    <t>South Sudan</t>
  </si>
  <si>
    <t>C</t>
  </si>
  <si>
    <t>Budget Category</t>
  </si>
  <si>
    <t>Sheet 1 - Budget by year</t>
  </si>
  <si>
    <t>EXPENSES</t>
  </si>
  <si>
    <t>Budget 
1 January - 31 December</t>
  </si>
  <si>
    <t>Realisation 
1 January - 31 December</t>
  </si>
  <si>
    <t>Difference 
1 January - 31 December</t>
  </si>
  <si>
    <t>Difference %
1 January - 31 December</t>
  </si>
  <si>
    <t>Clarification</t>
  </si>
  <si>
    <t>I. Direct staff costs applicant</t>
  </si>
  <si>
    <t>A. Staff costs for non-local personnel of applicant</t>
  </si>
  <si>
    <t>B. Staff costs for local personnel of applicant</t>
  </si>
  <si>
    <t>C. Programme activity costs, including project management costs</t>
  </si>
  <si>
    <t>D. External: consultants and advisers</t>
  </si>
  <si>
    <t>II. Other direct programme costs</t>
  </si>
  <si>
    <t>A. Activity-related travel costs</t>
  </si>
  <si>
    <t>B. Project office costs</t>
  </si>
  <si>
    <t>C. Activity-related equipment and investment costs</t>
  </si>
  <si>
    <t>D.1 External accountability activities (mid-term review, final evaluation and auditing)</t>
  </si>
  <si>
    <t>D.2 Programmatic Monitoring, Evaluation and Learning (executing the learning loop)
       of the Contributing to Peaceful and Safe Societies 2024-2031 grant programme</t>
  </si>
  <si>
    <t>D.3 Costs to participate in the learning trajectory partner</t>
  </si>
  <si>
    <t>III. Subtotal of I and II</t>
  </si>
  <si>
    <t xml:space="preserve"> </t>
  </si>
  <si>
    <r>
      <t>IV. Overheads / indirect costs applicant (</t>
    </r>
    <r>
      <rPr>
        <b/>
        <i/>
        <sz val="9"/>
        <color theme="0"/>
        <rFont val="Verdana"/>
        <family val="2"/>
      </rPr>
      <t>fill in your ICR</t>
    </r>
    <r>
      <rPr>
        <b/>
        <sz val="9"/>
        <color theme="0"/>
        <rFont val="Verdana"/>
        <family val="2"/>
      </rPr>
      <t>)</t>
    </r>
  </si>
  <si>
    <t>A. (fixed indirect costs rate (=max. 15% of V))</t>
  </si>
  <si>
    <t>V. Subtotal Direct costs and indirect costs applicant (=III + IV)</t>
  </si>
  <si>
    <t>VI. Programme costs local partners</t>
  </si>
  <si>
    <t>A. Direct and indirect costs of local partners (and other third parties)</t>
  </si>
  <si>
    <t>VII. Subtotal of V and VI</t>
  </si>
  <si>
    <t>VIII. Contingencies (Max. 4% of VII)</t>
  </si>
  <si>
    <t>A. Optional amount reserved for contingencies (max 4% of VII)</t>
  </si>
  <si>
    <t>IX. Grand total (VII + VIII)</t>
  </si>
  <si>
    <t>INCOME ACTIVITY (source and amount per year)</t>
  </si>
  <si>
    <t>Dutch Government</t>
  </si>
  <si>
    <t>International Government(s)</t>
  </si>
  <si>
    <t>International Organisation(s)</t>
  </si>
  <si>
    <t>Financial Sector (loan, guarantee, …..)</t>
  </si>
  <si>
    <t>Business contributions</t>
  </si>
  <si>
    <t>Private donors (including private persons)</t>
  </si>
  <si>
    <t>Income generated by the activities (services) funded by MFA</t>
  </si>
  <si>
    <t>Knowledge institutes</t>
  </si>
  <si>
    <t>Other (sources of) income…..</t>
  </si>
  <si>
    <t>Total Income</t>
  </si>
  <si>
    <t>Sheet 2 - Budget by result area</t>
  </si>
  <si>
    <t>Year 1</t>
  </si>
  <si>
    <t>Year 2</t>
  </si>
  <si>
    <t>Year 3</t>
  </si>
  <si>
    <t>Budget Result 1 - 
Evidence-based policy influencing</t>
  </si>
  <si>
    <t>Realisation Result 1 - 
Evidence-based policy influencing</t>
  </si>
  <si>
    <t>Budget Result 2 -  Country-level adaptive locally led programming</t>
  </si>
  <si>
    <t>Realisation Result 2 -  Country-level adaptive locally led programming</t>
  </si>
  <si>
    <t xml:space="preserve">D.1 External accountability activities (mid-term review, final evaluation and auditing </t>
  </si>
  <si>
    <t>D.2 Programmatic Monitoring, Evaluation and Learning (executing the learning loop 
       of the Contributing to Peaceful and Safe Societies 2024-2031 grant programme)</t>
  </si>
  <si>
    <t>D.3 Costs to participate in the learning trajectory partner - 
                    highly recommended - see section 12.3 grant policy framework</t>
  </si>
  <si>
    <t>IV. Overheads / indirect costs</t>
  </si>
  <si>
    <t>A. (fixed) Indirect costs rate (=max. 15% of V)</t>
  </si>
  <si>
    <t>V. Subtotal of III and IV</t>
  </si>
  <si>
    <t>VIII. Contingencies (max. 4% van VII)</t>
  </si>
  <si>
    <t>A. Optional percentage reserved for contingencies (Max. 4% of VII)</t>
  </si>
  <si>
    <t>VII. Grand total (V + VI)</t>
  </si>
  <si>
    <t>Total</t>
  </si>
  <si>
    <t>Sheet 3 - Indicative budget by country</t>
  </si>
  <si>
    <t>Please note that this sheet is meant to elaborate the distribution of the costs of result area 2 (country-level adaptive, locally led programming in sheet 2) among the various countries of operation</t>
  </si>
  <si>
    <t>Realisation Country 1</t>
  </si>
  <si>
    <t>Realisation Country 2</t>
  </si>
  <si>
    <t>Realisation Country 3</t>
  </si>
  <si>
    <t>Realisation Country 4</t>
  </si>
  <si>
    <t>Sub Total</t>
  </si>
  <si>
    <t>Grand Total (=column H + J)</t>
  </si>
  <si>
    <t>Total per country</t>
  </si>
  <si>
    <t>Grand Total</t>
  </si>
  <si>
    <t>Sum of Amount</t>
  </si>
  <si>
    <t xml:space="preserve">I.A2 </t>
  </si>
  <si>
    <t xml:space="preserve">I.A3 </t>
  </si>
  <si>
    <t xml:space="preserve">I.A4 </t>
  </si>
  <si>
    <t xml:space="preserve">I.A5 </t>
  </si>
  <si>
    <t xml:space="preserve">I.B4 </t>
  </si>
  <si>
    <t xml:space="preserve">I.B5 </t>
  </si>
  <si>
    <t xml:space="preserve">I.C1 </t>
  </si>
  <si>
    <t>II.A1</t>
  </si>
  <si>
    <t>II.A2</t>
  </si>
  <si>
    <t>II.A3</t>
  </si>
  <si>
    <t>II.A4</t>
  </si>
  <si>
    <t>II.A6</t>
  </si>
  <si>
    <t>II.A7</t>
  </si>
  <si>
    <t>II.B1</t>
  </si>
  <si>
    <t>II.B2</t>
  </si>
  <si>
    <t>II.B4</t>
  </si>
  <si>
    <t>II.B5</t>
  </si>
  <si>
    <t>II.C1</t>
  </si>
  <si>
    <t>II.C2</t>
  </si>
  <si>
    <t>II.C3</t>
  </si>
  <si>
    <t>II.C4</t>
  </si>
  <si>
    <t>II.C5</t>
  </si>
  <si>
    <t>I.A2</t>
  </si>
  <si>
    <t>I.A3</t>
  </si>
  <si>
    <t>I.A4</t>
  </si>
  <si>
    <t>I.A5</t>
  </si>
  <si>
    <t>I.A6</t>
  </si>
  <si>
    <t>I.B1</t>
  </si>
  <si>
    <t>I.B2</t>
  </si>
  <si>
    <t>I.B3</t>
  </si>
  <si>
    <t>I.B4</t>
  </si>
  <si>
    <t>I.C1</t>
  </si>
  <si>
    <t>II.A</t>
  </si>
  <si>
    <t>II.B</t>
  </si>
  <si>
    <t>II.C</t>
  </si>
  <si>
    <t>A</t>
  </si>
  <si>
    <t>B</t>
  </si>
  <si>
    <t>D</t>
  </si>
  <si>
    <t>E</t>
  </si>
  <si>
    <t>F</t>
  </si>
  <si>
    <t>G</t>
  </si>
  <si>
    <t>I.A.</t>
  </si>
  <si>
    <t>I.C.</t>
  </si>
  <si>
    <t>II.D</t>
  </si>
  <si>
    <t xml:space="preserve"> I.A.</t>
  </si>
  <si>
    <t>G.1.1</t>
  </si>
  <si>
    <t>A.1.1</t>
  </si>
  <si>
    <t>A.1.2</t>
  </si>
  <si>
    <t>H.1.1</t>
  </si>
  <si>
    <t>E.1.1</t>
  </si>
  <si>
    <t>D.1.1</t>
  </si>
  <si>
    <t>F.1.1</t>
  </si>
  <si>
    <t>As the startup of project, the burn rate is currently at 42%, relatively low compared to the elapsed project timeline and budget plan shared earlier. The implementation will be accelerated during the next year as per the budget plan.</t>
  </si>
  <si>
    <t>June 1st 2024 to December 2024</t>
  </si>
  <si>
    <t>Budget Country 1 (Sudan)</t>
  </si>
  <si>
    <t xml:space="preserve">Country 1: Sudan </t>
  </si>
  <si>
    <t>Country 2: South Sudan</t>
  </si>
  <si>
    <t>Country 3: 
DRC</t>
  </si>
  <si>
    <t>Country 4: Iraq</t>
  </si>
  <si>
    <t>SubTotal</t>
  </si>
  <si>
    <t>Grand Total (=column N+P)</t>
  </si>
  <si>
    <t>First 18 months</t>
  </si>
  <si>
    <t>Year 4</t>
  </si>
  <si>
    <t>Year 5</t>
  </si>
  <si>
    <t>Year 6</t>
  </si>
  <si>
    <t>Year 7</t>
  </si>
  <si>
    <t>Year 8</t>
  </si>
  <si>
    <t>Forecast June 2024 to Dec 2025</t>
  </si>
  <si>
    <t>Forecast June 2024 to Dec 2024</t>
  </si>
  <si>
    <t>Budget Country 2 (Iraq)</t>
  </si>
  <si>
    <t>Approved budget as per annual plan</t>
  </si>
  <si>
    <t>Budget Country 4 (S.Sudan)</t>
  </si>
  <si>
    <t>Difference 
1 June - 31 December</t>
  </si>
  <si>
    <t>Difference %
1 June - 31 December</t>
  </si>
  <si>
    <t>Budget Country 3 (DRC)</t>
  </si>
  <si>
    <t>Format Annual Financial Report Year 2024 (June to Dec)</t>
  </si>
  <si>
    <t>Budget Non-country specific expenses</t>
  </si>
  <si>
    <t>Realisation</t>
  </si>
  <si>
    <t>Result 1 - 
Evidence-based policy influencing</t>
  </si>
  <si>
    <t>Result 2 -  Country-level adaptive locally led programming</t>
  </si>
  <si>
    <t>Budget Line</t>
  </si>
  <si>
    <t>Budget</t>
  </si>
  <si>
    <t>Format Annual Financial Report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</si>
</sst>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* #,##0.00\ _€_-;\-* #,##0.00\ _€_-;_-* &quot;-&quot;??\ _€_-;_-@_-"/>
    <numFmt numFmtId="167" formatCode="_-* #,##0_-;\-* #,##0_-;_-* &quot;-&quot;??_-;_-@_-"/>
    <numFmt numFmtId="168" formatCode="&quot;€&quot;\ #,##0"/>
    <numFmt numFmtId="169" formatCode="_ * #,##0_ ;_ * \-#,##0_ ;_ * &quot;-&quot;??_ ;_ @_ "/>
  </numFmts>
  <fonts count="4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color theme="1"/>
      <name val="Verdana"/>
      <family val="2"/>
    </font>
    <font>
      <b/>
      <sz val="9"/>
      <color theme="1"/>
      <name val="Aptos Display"/>
      <family val="2"/>
      <scheme val="major"/>
    </font>
    <font>
      <u/>
      <sz val="9"/>
      <color theme="10"/>
      <name val="Verdana"/>
      <family val="2"/>
    </font>
    <font>
      <sz val="11"/>
      <color indexed="8"/>
      <name val="Aptos Narrow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i/>
      <sz val="12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i/>
      <sz val="9"/>
      <color theme="1"/>
      <name val="Verdana"/>
      <family val="2"/>
    </font>
    <font>
      <b/>
      <i/>
      <sz val="9"/>
      <color theme="0"/>
      <name val="Verdana"/>
      <family val="2"/>
    </font>
    <font>
      <sz val="9"/>
      <color theme="0"/>
      <name val="Verdana"/>
      <family val="2"/>
    </font>
    <font>
      <sz val="9"/>
      <name val="Verdana"/>
      <family val="2"/>
    </font>
    <font>
      <i/>
      <sz val="9"/>
      <color theme="1"/>
      <name val="Verdana"/>
      <family val="2"/>
    </font>
    <font>
      <i/>
      <sz val="9"/>
      <name val="Verdana"/>
      <family val="2"/>
    </font>
    <font>
      <i/>
      <sz val="21"/>
      <color theme="1"/>
      <name val="Verdana"/>
      <family val="2"/>
    </font>
    <font>
      <sz val="9"/>
      <color theme="1"/>
      <name val="Aptos Display"/>
      <family val="2"/>
      <scheme val="major"/>
    </font>
    <font>
      <b/>
      <sz val="14"/>
      <color theme="0"/>
      <name val="Aptos Display"/>
      <family val="2"/>
      <scheme val="major"/>
    </font>
    <font>
      <b/>
      <sz val="9"/>
      <color theme="0"/>
      <name val="Aptos Display"/>
      <family val="2"/>
      <scheme val="major"/>
    </font>
    <font>
      <sz val="9"/>
      <name val="Aptos Display"/>
      <family val="2"/>
      <scheme val="major"/>
    </font>
    <font>
      <sz val="8"/>
      <color theme="1"/>
      <name val="Aptos Display"/>
      <family val="2"/>
      <scheme val="major"/>
    </font>
    <font>
      <sz val="8"/>
      <color theme="0" tint="-0.499984740745262"/>
      <name val="Aptos Display"/>
      <family val="2"/>
      <scheme val="major"/>
    </font>
    <font>
      <b/>
      <sz val="12"/>
      <color theme="0"/>
      <name val="Aptos Display"/>
      <family val="2"/>
      <scheme val="major"/>
    </font>
    <font>
      <sz val="9"/>
      <color theme="0"/>
      <name val="Aptos Display"/>
      <family val="2"/>
      <scheme val="major"/>
    </font>
    <font>
      <sz val="9"/>
      <color rgb="FFFF0000"/>
      <name val="Verdana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0"/>
      <color rgb="FF000000"/>
      <name val="Arial"/>
      <family val="2"/>
    </font>
    <font>
      <u/>
      <sz val="10"/>
      <color indexed="36"/>
      <name val="Arial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"/>
      <family val="2"/>
    </font>
    <font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73B0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B07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1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 applyNumberFormat="0" applyFill="0" applyBorder="0" applyProtection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4" fillId="0" borderId="0"/>
    <xf numFmtId="166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35" fillId="0" borderId="0" applyNumberFormat="0" applyFill="0" applyBorder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0"/>
    <xf numFmtId="0" fontId="1" fillId="0" borderId="0"/>
    <xf numFmtId="166" fontId="1" fillId="0" borderId="0" applyFont="0" applyFill="0" applyBorder="0" applyAlignment="0" applyProtection="0"/>
    <xf numFmtId="0" fontId="9" fillId="0" borderId="0"/>
    <xf numFmtId="0" fontId="1" fillId="0" borderId="0"/>
    <xf numFmtId="0" fontId="3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2">
    <xf numFmtId="0" fontId="0" fillId="0" borderId="0" xfId="0"/>
    <xf numFmtId="0" fontId="7" fillId="4" borderId="3" xfId="14" applyFont="1" applyFill="1" applyBorder="1" applyAlignment="1">
      <alignment horizontal="center" vertical="center" wrapText="1"/>
    </xf>
    <xf numFmtId="0" fontId="10" fillId="0" borderId="0" xfId="14" applyFont="1" applyAlignment="1">
      <alignment wrapText="1"/>
    </xf>
    <xf numFmtId="0" fontId="10" fillId="0" borderId="0" xfId="14" applyFont="1"/>
    <xf numFmtId="0" fontId="12" fillId="0" borderId="0" xfId="14" applyFont="1" applyAlignment="1">
      <alignment horizontal="center" vertical="center" wrapText="1"/>
    </xf>
    <xf numFmtId="0" fontId="11" fillId="0" borderId="0" xfId="14" applyFont="1" applyAlignment="1">
      <alignment horizontal="center" vertical="center" wrapText="1"/>
    </xf>
    <xf numFmtId="0" fontId="14" fillId="3" borderId="7" xfId="14" applyFont="1" applyFill="1" applyBorder="1" applyAlignment="1">
      <alignment horizontal="center" vertical="center" wrapText="1"/>
    </xf>
    <xf numFmtId="0" fontId="6" fillId="7" borderId="15" xfId="14" applyFill="1" applyBorder="1" applyAlignment="1">
      <alignment wrapText="1"/>
    </xf>
    <xf numFmtId="168" fontId="6" fillId="8" borderId="15" xfId="14" applyNumberFormat="1" applyFill="1" applyBorder="1" applyAlignment="1">
      <alignment wrapText="1"/>
    </xf>
    <xf numFmtId="168" fontId="6" fillId="0" borderId="15" xfId="14" applyNumberFormat="1" applyBorder="1" applyAlignment="1">
      <alignment wrapText="1"/>
    </xf>
    <xf numFmtId="168" fontId="17" fillId="3" borderId="15" xfId="14" applyNumberFormat="1" applyFont="1" applyFill="1" applyBorder="1" applyAlignment="1">
      <alignment wrapText="1"/>
    </xf>
    <xf numFmtId="10" fontId="17" fillId="3" borderId="15" xfId="14" applyNumberFormat="1" applyFont="1" applyFill="1" applyBorder="1" applyAlignment="1">
      <alignment wrapText="1"/>
    </xf>
    <xf numFmtId="0" fontId="10" fillId="9" borderId="0" xfId="14" applyFont="1" applyFill="1"/>
    <xf numFmtId="0" fontId="10" fillId="9" borderId="0" xfId="14" applyFont="1" applyFill="1" applyAlignment="1">
      <alignment wrapText="1"/>
    </xf>
    <xf numFmtId="9" fontId="19" fillId="7" borderId="15" xfId="14" applyNumberFormat="1" applyFont="1" applyFill="1" applyBorder="1" applyAlignment="1">
      <alignment wrapText="1"/>
    </xf>
    <xf numFmtId="168" fontId="21" fillId="0" borderId="15" xfId="14" applyNumberFormat="1" applyFont="1" applyBorder="1" applyAlignment="1">
      <alignment wrapText="1"/>
    </xf>
    <xf numFmtId="168" fontId="22" fillId="0" borderId="15" xfId="14" applyNumberFormat="1" applyFont="1" applyBorder="1" applyAlignment="1">
      <alignment wrapText="1"/>
    </xf>
    <xf numFmtId="9" fontId="22" fillId="0" borderId="15" xfId="14" applyNumberFormat="1" applyFont="1" applyBorder="1" applyAlignment="1">
      <alignment wrapText="1"/>
    </xf>
    <xf numFmtId="10" fontId="22" fillId="0" borderId="15" xfId="14" applyNumberFormat="1" applyFont="1" applyBorder="1" applyAlignment="1">
      <alignment wrapText="1"/>
    </xf>
    <xf numFmtId="168" fontId="18" fillId="7" borderId="15" xfId="14" applyNumberFormat="1" applyFont="1" applyFill="1" applyBorder="1" applyAlignment="1">
      <alignment wrapText="1"/>
    </xf>
    <xf numFmtId="10" fontId="18" fillId="7" borderId="15" xfId="14" applyNumberFormat="1" applyFont="1" applyFill="1" applyBorder="1" applyAlignment="1">
      <alignment wrapText="1"/>
    </xf>
    <xf numFmtId="0" fontId="6" fillId="9" borderId="15" xfId="14" applyFill="1" applyBorder="1" applyAlignment="1">
      <alignment wrapText="1"/>
    </xf>
    <xf numFmtId="9" fontId="6" fillId="0" borderId="15" xfId="14" applyNumberFormat="1" applyBorder="1" applyAlignment="1">
      <alignment wrapText="1"/>
    </xf>
    <xf numFmtId="10" fontId="6" fillId="0" borderId="15" xfId="14" applyNumberFormat="1" applyBorder="1" applyAlignment="1">
      <alignment wrapText="1"/>
    </xf>
    <xf numFmtId="0" fontId="6" fillId="9" borderId="21" xfId="14" applyFill="1" applyBorder="1" applyAlignment="1">
      <alignment wrapText="1"/>
    </xf>
    <xf numFmtId="0" fontId="6" fillId="9" borderId="0" xfId="14" applyFill="1" applyAlignment="1">
      <alignment wrapText="1"/>
    </xf>
    <xf numFmtId="0" fontId="6" fillId="10" borderId="15" xfId="14" applyFill="1" applyBorder="1" applyAlignment="1">
      <alignment wrapText="1"/>
    </xf>
    <xf numFmtId="168" fontId="6" fillId="11" borderId="15" xfId="14" applyNumberFormat="1" applyFill="1" applyBorder="1" applyAlignment="1">
      <alignment wrapText="1"/>
    </xf>
    <xf numFmtId="168" fontId="18" fillId="10" borderId="15" xfId="14" applyNumberFormat="1" applyFont="1" applyFill="1" applyBorder="1" applyAlignment="1">
      <alignment wrapText="1"/>
    </xf>
    <xf numFmtId="0" fontId="6" fillId="9" borderId="24" xfId="14" applyFill="1" applyBorder="1" applyAlignment="1">
      <alignment wrapText="1"/>
    </xf>
    <xf numFmtId="0" fontId="6" fillId="9" borderId="25" xfId="14" applyFill="1" applyBorder="1" applyAlignment="1">
      <alignment wrapText="1"/>
    </xf>
    <xf numFmtId="0" fontId="6" fillId="9" borderId="10" xfId="14" applyFill="1" applyBorder="1" applyAlignment="1">
      <alignment wrapText="1"/>
    </xf>
    <xf numFmtId="0" fontId="23" fillId="0" borderId="0" xfId="14" applyFont="1"/>
    <xf numFmtId="0" fontId="6" fillId="0" borderId="0" xfId="14"/>
    <xf numFmtId="0" fontId="24" fillId="0" borderId="0" xfId="14" applyFont="1"/>
    <xf numFmtId="0" fontId="7" fillId="9" borderId="3" xfId="14" applyFont="1" applyFill="1" applyBorder="1" applyAlignment="1">
      <alignment horizontal="center" vertical="center" wrapText="1"/>
    </xf>
    <xf numFmtId="0" fontId="7" fillId="0" borderId="27" xfId="14" applyFont="1" applyBorder="1" applyAlignment="1">
      <alignment horizontal="center" vertical="center" wrapText="1"/>
    </xf>
    <xf numFmtId="0" fontId="7" fillId="0" borderId="28" xfId="14" applyFont="1" applyBorder="1" applyAlignment="1">
      <alignment horizontal="center" vertical="center" wrapText="1"/>
    </xf>
    <xf numFmtId="0" fontId="26" fillId="12" borderId="1" xfId="14" applyFont="1" applyFill="1" applyBorder="1" applyAlignment="1">
      <alignment horizontal="left" vertical="center" wrapText="1"/>
    </xf>
    <xf numFmtId="0" fontId="26" fillId="12" borderId="4" xfId="14" applyFont="1" applyFill="1" applyBorder="1" applyAlignment="1">
      <alignment vertical="center" wrapText="1"/>
    </xf>
    <xf numFmtId="169" fontId="28" fillId="14" borderId="29" xfId="15" applyNumberFormat="1" applyFont="1" applyFill="1" applyBorder="1" applyAlignment="1" applyProtection="1">
      <alignment vertical="center" wrapText="1"/>
      <protection locked="0"/>
    </xf>
    <xf numFmtId="169" fontId="28" fillId="14" borderId="34" xfId="15" applyNumberFormat="1" applyFont="1" applyFill="1" applyBorder="1" applyAlignment="1" applyProtection="1">
      <alignment vertical="center" wrapText="1"/>
      <protection locked="0"/>
    </xf>
    <xf numFmtId="169" fontId="28" fillId="14" borderId="31" xfId="15" applyNumberFormat="1" applyFont="1" applyFill="1" applyBorder="1" applyAlignment="1" applyProtection="1">
      <alignment vertical="center" wrapText="1"/>
      <protection locked="0"/>
    </xf>
    <xf numFmtId="169" fontId="28" fillId="14" borderId="1" xfId="15" applyNumberFormat="1" applyFont="1" applyFill="1" applyBorder="1" applyAlignment="1" applyProtection="1">
      <alignment vertical="center" wrapText="1"/>
      <protection locked="0"/>
    </xf>
    <xf numFmtId="169" fontId="28" fillId="14" borderId="30" xfId="15" applyNumberFormat="1" applyFont="1" applyFill="1" applyBorder="1" applyAlignment="1">
      <alignment vertical="center" wrapText="1"/>
    </xf>
    <xf numFmtId="169" fontId="28" fillId="0" borderId="22" xfId="15" applyNumberFormat="1" applyFont="1" applyBorder="1" applyAlignment="1" applyProtection="1">
      <alignment vertical="center" wrapText="1"/>
      <protection locked="0"/>
    </xf>
    <xf numFmtId="169" fontId="28" fillId="0" borderId="38" xfId="15" applyNumberFormat="1" applyFont="1" applyBorder="1" applyAlignment="1" applyProtection="1">
      <alignment vertical="center" wrapText="1"/>
      <protection locked="0"/>
    </xf>
    <xf numFmtId="169" fontId="28" fillId="0" borderId="15" xfId="15" applyNumberFormat="1" applyFont="1" applyBorder="1" applyAlignment="1" applyProtection="1">
      <alignment vertical="center" wrapText="1"/>
      <protection locked="0"/>
    </xf>
    <xf numFmtId="169" fontId="28" fillId="0" borderId="1" xfId="15" applyNumberFormat="1" applyFont="1" applyBorder="1" applyAlignment="1" applyProtection="1">
      <alignment vertical="center" wrapText="1"/>
      <protection locked="0"/>
    </xf>
    <xf numFmtId="169" fontId="28" fillId="0" borderId="30" xfId="15" applyNumberFormat="1" applyFont="1" applyBorder="1" applyAlignment="1">
      <alignment vertical="center" wrapText="1"/>
    </xf>
    <xf numFmtId="169" fontId="28" fillId="14" borderId="22" xfId="15" applyNumberFormat="1" applyFont="1" applyFill="1" applyBorder="1" applyAlignment="1" applyProtection="1">
      <alignment vertical="center"/>
      <protection locked="0"/>
    </xf>
    <xf numFmtId="169" fontId="28" fillId="14" borderId="2" xfId="15" applyNumberFormat="1" applyFont="1" applyFill="1" applyBorder="1" applyAlignment="1" applyProtection="1">
      <alignment vertical="center"/>
      <protection locked="0"/>
    </xf>
    <xf numFmtId="169" fontId="28" fillId="8" borderId="15" xfId="15" applyNumberFormat="1" applyFont="1" applyFill="1" applyBorder="1" applyAlignment="1" applyProtection="1">
      <alignment vertical="center" wrapText="1"/>
      <protection locked="0"/>
    </xf>
    <xf numFmtId="169" fontId="28" fillId="8" borderId="1" xfId="15" applyNumberFormat="1" applyFont="1" applyFill="1" applyBorder="1" applyAlignment="1" applyProtection="1">
      <alignment vertical="center" wrapText="1"/>
      <protection locked="0"/>
    </xf>
    <xf numFmtId="169" fontId="28" fillId="0" borderId="2" xfId="15" applyNumberFormat="1" applyFont="1" applyBorder="1" applyAlignment="1" applyProtection="1">
      <alignment vertical="center" wrapText="1"/>
      <protection locked="0"/>
    </xf>
    <xf numFmtId="169" fontId="28" fillId="0" borderId="15" xfId="15" applyNumberFormat="1" applyFont="1" applyBorder="1" applyAlignment="1" applyProtection="1">
      <alignment vertical="center"/>
      <protection locked="0"/>
    </xf>
    <xf numFmtId="169" fontId="28" fillId="0" borderId="0" xfId="15" applyNumberFormat="1" applyFont="1" applyAlignment="1" applyProtection="1">
      <alignment vertical="center"/>
      <protection locked="0"/>
    </xf>
    <xf numFmtId="0" fontId="28" fillId="0" borderId="0" xfId="14" applyFont="1"/>
    <xf numFmtId="0" fontId="26" fillId="12" borderId="42" xfId="14" applyFont="1" applyFill="1" applyBorder="1" applyAlignment="1">
      <alignment horizontal="left" vertical="center" wrapText="1"/>
    </xf>
    <xf numFmtId="169" fontId="24" fillId="0" borderId="2" xfId="15" applyNumberFormat="1" applyFont="1" applyBorder="1" applyAlignment="1" applyProtection="1">
      <alignment vertical="center" wrapText="1"/>
      <protection locked="0"/>
    </xf>
    <xf numFmtId="0" fontId="26" fillId="12" borderId="0" xfId="14" applyFont="1" applyFill="1" applyAlignment="1">
      <alignment vertical="center" wrapText="1"/>
    </xf>
    <xf numFmtId="0" fontId="26" fillId="12" borderId="42" xfId="14" applyFont="1" applyFill="1" applyBorder="1" applyAlignment="1">
      <alignment vertical="center" wrapText="1"/>
    </xf>
    <xf numFmtId="0" fontId="26" fillId="12" borderId="0" xfId="14" applyFont="1" applyFill="1" applyAlignment="1">
      <alignment horizontal="left" vertical="center" wrapText="1"/>
    </xf>
    <xf numFmtId="0" fontId="26" fillId="12" borderId="43" xfId="14" applyFont="1" applyFill="1" applyBorder="1" applyAlignment="1">
      <alignment vertical="center" wrapText="1"/>
    </xf>
    <xf numFmtId="0" fontId="26" fillId="12" borderId="41" xfId="14" applyFont="1" applyFill="1" applyBorder="1" applyAlignment="1">
      <alignment vertical="center" wrapText="1"/>
    </xf>
    <xf numFmtId="169" fontId="24" fillId="14" borderId="2" xfId="15" applyNumberFormat="1" applyFont="1" applyFill="1" applyBorder="1" applyAlignment="1" applyProtection="1">
      <alignment vertical="center" wrapText="1"/>
      <protection locked="0"/>
    </xf>
    <xf numFmtId="169" fontId="28" fillId="0" borderId="33" xfId="15" applyNumberFormat="1" applyFont="1" applyBorder="1" applyAlignment="1" applyProtection="1">
      <alignment horizontal="left" vertical="center" wrapText="1"/>
      <protection locked="0"/>
    </xf>
    <xf numFmtId="169" fontId="28" fillId="0" borderId="45" xfId="15" applyNumberFormat="1" applyFont="1" applyBorder="1" applyAlignment="1" applyProtection="1">
      <alignment horizontal="left" vertical="center" wrapText="1"/>
      <protection locked="0"/>
    </xf>
    <xf numFmtId="169" fontId="24" fillId="0" borderId="32" xfId="15" applyNumberFormat="1" applyFont="1" applyBorder="1" applyAlignment="1">
      <alignment vertical="center" wrapText="1"/>
    </xf>
    <xf numFmtId="169" fontId="28" fillId="14" borderId="15" xfId="15" applyNumberFormat="1" applyFont="1" applyFill="1" applyBorder="1" applyAlignment="1" applyProtection="1">
      <alignment horizontal="left" vertical="center"/>
      <protection locked="0"/>
    </xf>
    <xf numFmtId="169" fontId="28" fillId="14" borderId="38" xfId="15" applyNumberFormat="1" applyFont="1" applyFill="1" applyBorder="1" applyAlignment="1" applyProtection="1">
      <alignment horizontal="left" vertical="center"/>
      <protection locked="0"/>
    </xf>
    <xf numFmtId="169" fontId="24" fillId="14" borderId="2" xfId="15" applyNumberFormat="1" applyFont="1" applyFill="1" applyBorder="1" applyAlignment="1">
      <alignment vertical="center" wrapText="1"/>
    </xf>
    <xf numFmtId="169" fontId="28" fillId="0" borderId="15" xfId="15" applyNumberFormat="1" applyFont="1" applyBorder="1" applyAlignment="1" applyProtection="1">
      <alignment horizontal="left" vertical="center" wrapText="1"/>
      <protection locked="0"/>
    </xf>
    <xf numFmtId="169" fontId="28" fillId="0" borderId="38" xfId="15" applyNumberFormat="1" applyFont="1" applyBorder="1" applyAlignment="1" applyProtection="1">
      <alignment horizontal="left" vertical="center" wrapText="1"/>
      <protection locked="0"/>
    </xf>
    <xf numFmtId="169" fontId="24" fillId="0" borderId="2" xfId="15" applyNumberFormat="1" applyFont="1" applyBorder="1" applyAlignment="1">
      <alignment vertical="center" wrapText="1"/>
    </xf>
    <xf numFmtId="169" fontId="29" fillId="0" borderId="15" xfId="15" applyNumberFormat="1" applyFont="1" applyBorder="1" applyAlignment="1" applyProtection="1">
      <alignment horizontal="left" vertical="center" wrapText="1"/>
      <protection locked="0"/>
    </xf>
    <xf numFmtId="169" fontId="29" fillId="0" borderId="38" xfId="15" applyNumberFormat="1" applyFont="1" applyBorder="1" applyAlignment="1" applyProtection="1">
      <alignment horizontal="left" vertical="center" wrapText="1"/>
      <protection locked="0"/>
    </xf>
    <xf numFmtId="0" fontId="24" fillId="0" borderId="2" xfId="14" applyFont="1" applyBorder="1" applyAlignment="1">
      <alignment vertical="center" wrapText="1"/>
    </xf>
    <xf numFmtId="169" fontId="29" fillId="14" borderId="15" xfId="15" applyNumberFormat="1" applyFont="1" applyFill="1" applyBorder="1" applyAlignment="1" applyProtection="1">
      <alignment horizontal="left" vertical="center"/>
      <protection locked="0"/>
    </xf>
    <xf numFmtId="169" fontId="29" fillId="14" borderId="38" xfId="15" applyNumberFormat="1" applyFont="1" applyFill="1" applyBorder="1" applyAlignment="1" applyProtection="1">
      <alignment horizontal="left" vertical="center"/>
      <protection locked="0"/>
    </xf>
    <xf numFmtId="0" fontId="24" fillId="0" borderId="47" xfId="14" applyFont="1" applyBorder="1" applyAlignment="1">
      <alignment vertical="center" wrapText="1"/>
    </xf>
    <xf numFmtId="0" fontId="24" fillId="0" borderId="46" xfId="14" applyFont="1" applyBorder="1" applyAlignment="1">
      <alignment vertical="center" wrapText="1"/>
    </xf>
    <xf numFmtId="0" fontId="24" fillId="0" borderId="42" xfId="14" applyFont="1" applyBorder="1" applyAlignment="1">
      <alignment vertical="center" wrapText="1"/>
    </xf>
    <xf numFmtId="0" fontId="24" fillId="0" borderId="0" xfId="14" applyFont="1" applyAlignment="1">
      <alignment vertical="center" wrapText="1"/>
    </xf>
    <xf numFmtId="169" fontId="24" fillId="0" borderId="35" xfId="15" applyNumberFormat="1" applyFont="1" applyBorder="1" applyAlignment="1">
      <alignment vertical="center" wrapText="1"/>
    </xf>
    <xf numFmtId="0" fontId="26" fillId="12" borderId="49" xfId="14" applyFont="1" applyFill="1" applyBorder="1" applyAlignment="1">
      <alignment vertical="center" wrapText="1"/>
    </xf>
    <xf numFmtId="0" fontId="26" fillId="12" borderId="28" xfId="14" applyFont="1" applyFill="1" applyBorder="1" applyAlignment="1">
      <alignment vertical="center" wrapText="1"/>
    </xf>
    <xf numFmtId="0" fontId="26" fillId="0" borderId="0" xfId="14" applyFont="1" applyAlignment="1">
      <alignment horizontal="center" vertical="center" wrapText="1"/>
    </xf>
    <xf numFmtId="0" fontId="26" fillId="0" borderId="0" xfId="14" applyFont="1" applyAlignment="1">
      <alignment vertical="center" wrapText="1"/>
    </xf>
    <xf numFmtId="169" fontId="24" fillId="12" borderId="50" xfId="15" applyNumberFormat="1" applyFont="1" applyFill="1" applyBorder="1" applyAlignment="1">
      <alignment vertical="center" wrapText="1"/>
    </xf>
    <xf numFmtId="169" fontId="24" fillId="12" borderId="40" xfId="15" applyNumberFormat="1" applyFont="1" applyFill="1" applyBorder="1" applyAlignment="1">
      <alignment vertical="center" wrapText="1"/>
    </xf>
    <xf numFmtId="169" fontId="24" fillId="12" borderId="25" xfId="15" applyNumberFormat="1" applyFont="1" applyFill="1" applyBorder="1" applyAlignment="1">
      <alignment vertical="center" wrapText="1"/>
    </xf>
    <xf numFmtId="169" fontId="24" fillId="12" borderId="41" xfId="15" applyNumberFormat="1" applyFont="1" applyFill="1" applyBorder="1" applyAlignment="1">
      <alignment vertical="center" wrapText="1"/>
    </xf>
    <xf numFmtId="169" fontId="24" fillId="0" borderId="29" xfId="15" applyNumberFormat="1" applyFont="1" applyBorder="1" applyAlignment="1">
      <alignment vertical="center" wrapText="1"/>
    </xf>
    <xf numFmtId="169" fontId="24" fillId="0" borderId="4" xfId="15" applyNumberFormat="1" applyFont="1" applyBorder="1" applyAlignment="1">
      <alignment vertical="center" wrapText="1"/>
    </xf>
    <xf numFmtId="9" fontId="24" fillId="0" borderId="4" xfId="21" applyFont="1" applyBorder="1" applyAlignment="1">
      <alignment vertical="center" wrapText="1"/>
    </xf>
    <xf numFmtId="169" fontId="24" fillId="0" borderId="31" xfId="15" applyNumberFormat="1" applyFont="1" applyBorder="1" applyAlignment="1">
      <alignment vertical="center" wrapText="1"/>
    </xf>
    <xf numFmtId="0" fontId="28" fillId="12" borderId="21" xfId="14" applyFont="1" applyFill="1" applyBorder="1" applyAlignment="1">
      <alignment vertical="center" wrapText="1"/>
    </xf>
    <xf numFmtId="0" fontId="28" fillId="12" borderId="0" xfId="14" applyFont="1" applyFill="1" applyAlignment="1">
      <alignment vertical="center" wrapText="1"/>
    </xf>
    <xf numFmtId="0" fontId="28" fillId="12" borderId="42" xfId="14" applyFont="1" applyFill="1" applyBorder="1" applyAlignment="1">
      <alignment vertical="center" wrapText="1"/>
    </xf>
    <xf numFmtId="0" fontId="28" fillId="12" borderId="36" xfId="14" applyFont="1" applyFill="1" applyBorder="1" applyAlignment="1">
      <alignment vertical="center" wrapText="1"/>
    </xf>
    <xf numFmtId="0" fontId="28" fillId="12" borderId="31" xfId="14" applyFont="1" applyFill="1" applyBorder="1" applyAlignment="1">
      <alignment vertical="center" wrapText="1"/>
    </xf>
    <xf numFmtId="169" fontId="28" fillId="0" borderId="22" xfId="15" applyNumberFormat="1" applyFont="1" applyBorder="1" applyAlignment="1" applyProtection="1">
      <alignment horizontal="left" vertical="center"/>
      <protection locked="0"/>
    </xf>
    <xf numFmtId="169" fontId="28" fillId="0" borderId="2" xfId="15" applyNumberFormat="1" applyFont="1" applyBorder="1" applyAlignment="1" applyProtection="1">
      <alignment horizontal="left" vertical="center"/>
      <protection locked="0"/>
    </xf>
    <xf numFmtId="9" fontId="28" fillId="0" borderId="2" xfId="21" applyFont="1" applyBorder="1" applyAlignment="1" applyProtection="1">
      <alignment horizontal="right" vertical="center"/>
      <protection locked="0"/>
    </xf>
    <xf numFmtId="169" fontId="28" fillId="0" borderId="15" xfId="15" applyNumberFormat="1" applyFont="1" applyBorder="1" applyAlignment="1" applyProtection="1">
      <alignment horizontal="left" vertical="center"/>
      <protection locked="0"/>
    </xf>
    <xf numFmtId="169" fontId="28" fillId="0" borderId="34" xfId="15" applyNumberFormat="1" applyFont="1" applyBorder="1" applyAlignment="1" applyProtection="1">
      <alignment horizontal="left" vertical="center"/>
      <protection locked="0"/>
    </xf>
    <xf numFmtId="169" fontId="7" fillId="0" borderId="4" xfId="15" applyNumberFormat="1" applyFont="1" applyBorder="1" applyAlignment="1">
      <alignment vertical="center" wrapText="1"/>
    </xf>
    <xf numFmtId="9" fontId="24" fillId="0" borderId="2" xfId="21" applyFont="1" applyBorder="1" applyAlignment="1">
      <alignment vertical="center" wrapText="1"/>
    </xf>
    <xf numFmtId="169" fontId="24" fillId="12" borderId="29" xfId="15" applyNumberFormat="1" applyFont="1" applyFill="1" applyBorder="1" applyAlignment="1">
      <alignment vertical="center" wrapText="1"/>
    </xf>
    <xf numFmtId="169" fontId="24" fillId="12" borderId="4" xfId="15" applyNumberFormat="1" applyFont="1" applyFill="1" applyBorder="1" applyAlignment="1">
      <alignment vertical="center" wrapText="1"/>
    </xf>
    <xf numFmtId="169" fontId="24" fillId="12" borderId="31" xfId="15" applyNumberFormat="1" applyFont="1" applyFill="1" applyBorder="1" applyAlignment="1">
      <alignment vertical="center" wrapText="1"/>
    </xf>
    <xf numFmtId="169" fontId="24" fillId="12" borderId="34" xfId="15" applyNumberFormat="1" applyFont="1" applyFill="1" applyBorder="1" applyAlignment="1">
      <alignment vertical="center" wrapText="1"/>
    </xf>
    <xf numFmtId="169" fontId="24" fillId="12" borderId="0" xfId="15" applyNumberFormat="1" applyFont="1" applyFill="1" applyAlignment="1">
      <alignment vertical="center" wrapText="1"/>
    </xf>
    <xf numFmtId="169" fontId="24" fillId="0" borderId="22" xfId="15" applyNumberFormat="1" applyFont="1" applyBorder="1" applyAlignment="1" applyProtection="1">
      <alignment vertical="center" wrapText="1"/>
      <protection locked="0"/>
    </xf>
    <xf numFmtId="9" fontId="24" fillId="0" borderId="2" xfId="21" applyFont="1" applyBorder="1" applyAlignment="1" applyProtection="1">
      <alignment vertical="center" wrapText="1"/>
      <protection locked="0"/>
    </xf>
    <xf numFmtId="169" fontId="24" fillId="0" borderId="15" xfId="15" applyNumberFormat="1" applyFont="1" applyBorder="1" applyAlignment="1" applyProtection="1">
      <alignment vertical="center" wrapText="1"/>
      <protection locked="0"/>
    </xf>
    <xf numFmtId="169" fontId="24" fillId="0" borderId="38" xfId="15" applyNumberFormat="1" applyFont="1" applyBorder="1" applyAlignment="1" applyProtection="1">
      <alignment vertical="center" wrapText="1"/>
      <protection locked="0"/>
    </xf>
    <xf numFmtId="9" fontId="24" fillId="0" borderId="0" xfId="21" applyFont="1" applyAlignment="1" applyProtection="1">
      <alignment vertical="center" wrapText="1"/>
      <protection locked="0"/>
    </xf>
    <xf numFmtId="169" fontId="31" fillId="12" borderId="29" xfId="15" applyNumberFormat="1" applyFont="1" applyFill="1" applyBorder="1" applyAlignment="1">
      <alignment vertical="center" wrapText="1"/>
    </xf>
    <xf numFmtId="169" fontId="31" fillId="12" borderId="4" xfId="15" applyNumberFormat="1" applyFont="1" applyFill="1" applyBorder="1" applyAlignment="1">
      <alignment vertical="center" wrapText="1"/>
    </xf>
    <xf numFmtId="169" fontId="31" fillId="12" borderId="31" xfId="15" applyNumberFormat="1" applyFont="1" applyFill="1" applyBorder="1" applyAlignment="1">
      <alignment vertical="center" wrapText="1"/>
    </xf>
    <xf numFmtId="169" fontId="31" fillId="12" borderId="0" xfId="15" applyNumberFormat="1" applyFont="1" applyFill="1" applyAlignment="1">
      <alignment vertical="center" wrapText="1"/>
    </xf>
    <xf numFmtId="0" fontId="7" fillId="9" borderId="27" xfId="14" applyFont="1" applyFill="1" applyBorder="1" applyAlignment="1">
      <alignment horizontal="center" vertical="center" wrapText="1"/>
    </xf>
    <xf numFmtId="0" fontId="7" fillId="9" borderId="28" xfId="14" applyFont="1" applyFill="1" applyBorder="1" applyAlignment="1">
      <alignment horizontal="center" vertical="center" wrapText="1"/>
    </xf>
    <xf numFmtId="0" fontId="7" fillId="9" borderId="25" xfId="14" applyFont="1" applyFill="1" applyBorder="1" applyAlignment="1">
      <alignment horizontal="center" vertical="center" wrapText="1"/>
    </xf>
    <xf numFmtId="0" fontId="21" fillId="0" borderId="0" xfId="14" applyFont="1" applyAlignment="1">
      <alignment vertical="center"/>
    </xf>
    <xf numFmtId="0" fontId="14" fillId="9" borderId="7" xfId="14" applyFont="1" applyFill="1" applyBorder="1" applyAlignment="1">
      <alignment horizontal="center" vertical="center" wrapText="1"/>
    </xf>
    <xf numFmtId="9" fontId="0" fillId="8" borderId="15" xfId="21" applyFont="1" applyFill="1" applyBorder="1" applyAlignment="1">
      <alignment wrapText="1"/>
    </xf>
    <xf numFmtId="3" fontId="6" fillId="9" borderId="15" xfId="14" applyNumberFormat="1" applyFill="1" applyBorder="1" applyAlignment="1">
      <alignment wrapText="1"/>
    </xf>
    <xf numFmtId="168" fontId="6" fillId="7" borderId="15" xfId="14" applyNumberFormat="1" applyFill="1" applyBorder="1" applyAlignment="1">
      <alignment wrapText="1"/>
    </xf>
    <xf numFmtId="9" fontId="0" fillId="7" borderId="15" xfId="21" applyFont="1" applyFill="1" applyBorder="1" applyAlignment="1">
      <alignment wrapText="1"/>
    </xf>
    <xf numFmtId="168" fontId="15" fillId="7" borderId="15" xfId="14" applyNumberFormat="1" applyFont="1" applyFill="1" applyBorder="1" applyAlignment="1">
      <alignment wrapText="1"/>
    </xf>
    <xf numFmtId="0" fontId="0" fillId="0" borderId="2" xfId="0" applyBorder="1"/>
    <xf numFmtId="167" fontId="0" fillId="0" borderId="2" xfId="19" applyNumberFormat="1" applyFont="1" applyBorder="1"/>
    <xf numFmtId="9" fontId="0" fillId="0" borderId="2" xfId="20" applyFont="1" applyBorder="1"/>
    <xf numFmtId="0" fontId="39" fillId="0" borderId="0" xfId="0" applyFont="1" applyAlignment="1">
      <alignment vertical="center"/>
    </xf>
    <xf numFmtId="0" fontId="7" fillId="0" borderId="3" xfId="14" applyFont="1" applyBorder="1" applyAlignment="1" applyProtection="1">
      <alignment horizontal="center" vertical="center" wrapText="1"/>
      <protection locked="0"/>
    </xf>
    <xf numFmtId="0" fontId="7" fillId="0" borderId="2" xfId="14" applyFont="1" applyBorder="1" applyAlignment="1">
      <alignment horizontal="center" vertical="center" wrapText="1"/>
    </xf>
    <xf numFmtId="0" fontId="7" fillId="0" borderId="3" xfId="14" applyFont="1" applyBorder="1" applyAlignment="1">
      <alignment horizontal="center" vertical="center" wrapText="1"/>
    </xf>
    <xf numFmtId="169" fontId="7" fillId="0" borderId="2" xfId="15" applyNumberFormat="1" applyFont="1" applyFill="1" applyBorder="1" applyAlignment="1" applyProtection="1">
      <alignment vertical="center" wrapText="1"/>
    </xf>
    <xf numFmtId="169" fontId="7" fillId="0" borderId="2" xfId="15" applyNumberFormat="1" applyFont="1" applyBorder="1" applyAlignment="1" applyProtection="1">
      <alignment vertical="center" wrapText="1"/>
    </xf>
    <xf numFmtId="169" fontId="7" fillId="14" borderId="2" xfId="15" applyNumberFormat="1" applyFont="1" applyFill="1" applyBorder="1" applyAlignment="1" applyProtection="1">
      <alignment vertical="center" wrapText="1"/>
    </xf>
    <xf numFmtId="169" fontId="24" fillId="15" borderId="2" xfId="15" applyNumberFormat="1" applyFont="1" applyFill="1" applyBorder="1" applyAlignment="1" applyProtection="1">
      <alignment vertical="center" wrapText="1"/>
      <protection locked="0"/>
    </xf>
    <xf numFmtId="169" fontId="24" fillId="0" borderId="2" xfId="15" applyNumberFormat="1" applyFont="1" applyFill="1" applyBorder="1" applyAlignment="1" applyProtection="1">
      <alignment vertical="center" wrapText="1"/>
      <protection locked="0"/>
    </xf>
    <xf numFmtId="169" fontId="7" fillId="0" borderId="4" xfId="15" applyNumberFormat="1" applyFont="1" applyFill="1" applyBorder="1" applyAlignment="1" applyProtection="1">
      <alignment vertical="center" wrapText="1"/>
    </xf>
    <xf numFmtId="169" fontId="26" fillId="12" borderId="2" xfId="15" applyNumberFormat="1" applyFont="1" applyFill="1" applyBorder="1" applyAlignment="1" applyProtection="1">
      <alignment vertical="center" wrapText="1"/>
    </xf>
    <xf numFmtId="0" fontId="6" fillId="16" borderId="14" xfId="14" applyFill="1" applyBorder="1"/>
    <xf numFmtId="167" fontId="6" fillId="16" borderId="14" xfId="19" applyNumberFormat="1" applyFont="1" applyFill="1" applyBorder="1"/>
    <xf numFmtId="167" fontId="24" fillId="14" borderId="2" xfId="19" applyNumberFormat="1" applyFont="1" applyFill="1" applyBorder="1" applyAlignment="1" applyProtection="1">
      <alignment vertical="center" wrapText="1"/>
      <protection locked="0"/>
    </xf>
    <xf numFmtId="167" fontId="24" fillId="0" borderId="2" xfId="19" applyNumberFormat="1" applyFont="1" applyBorder="1" applyAlignment="1" applyProtection="1">
      <alignment vertical="center" wrapText="1"/>
      <protection locked="0"/>
    </xf>
    <xf numFmtId="167" fontId="24" fillId="0" borderId="2" xfId="19" applyNumberFormat="1" applyFont="1" applyBorder="1" applyAlignment="1">
      <alignment vertical="center" wrapText="1"/>
    </xf>
    <xf numFmtId="167" fontId="26" fillId="12" borderId="48" xfId="14" applyNumberFormat="1" applyFont="1" applyFill="1" applyBorder="1" applyAlignment="1">
      <alignment vertical="center" wrapText="1"/>
    </xf>
    <xf numFmtId="0" fontId="14" fillId="0" borderId="0" xfId="14" applyFont="1" applyAlignment="1">
      <alignment wrapText="1"/>
    </xf>
    <xf numFmtId="9" fontId="6" fillId="8" borderId="15" xfId="20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10" fontId="0" fillId="0" borderId="2" xfId="20" applyNumberFormat="1" applyFont="1" applyBorder="1"/>
    <xf numFmtId="167" fontId="26" fillId="12" borderId="21" xfId="14" applyNumberFormat="1" applyFont="1" applyFill="1" applyBorder="1" applyAlignment="1">
      <alignment vertical="center" wrapText="1"/>
    </xf>
    <xf numFmtId="9" fontId="26" fillId="12" borderId="21" xfId="14" applyNumberFormat="1" applyFont="1" applyFill="1" applyBorder="1" applyAlignment="1">
      <alignment vertical="center" wrapText="1"/>
    </xf>
    <xf numFmtId="169" fontId="6" fillId="0" borderId="0" xfId="14" applyNumberFormat="1"/>
    <xf numFmtId="167" fontId="6" fillId="0" borderId="0" xfId="14" applyNumberFormat="1"/>
    <xf numFmtId="0" fontId="11" fillId="6" borderId="5" xfId="14" applyFont="1" applyFill="1" applyBorder="1" applyAlignment="1">
      <alignment horizontal="center" vertical="center" wrapText="1"/>
    </xf>
    <xf numFmtId="0" fontId="11" fillId="6" borderId="6" xfId="14" applyFont="1" applyFill="1" applyBorder="1" applyAlignment="1">
      <alignment horizontal="center" vertical="center" wrapText="1"/>
    </xf>
    <xf numFmtId="0" fontId="11" fillId="6" borderId="7" xfId="14" applyFont="1" applyFill="1" applyBorder="1" applyAlignment="1">
      <alignment horizontal="center" vertical="center" wrapText="1"/>
    </xf>
    <xf numFmtId="0" fontId="12" fillId="6" borderId="8" xfId="14" applyFont="1" applyFill="1" applyBorder="1" applyAlignment="1">
      <alignment horizontal="center" vertical="center" wrapText="1"/>
    </xf>
    <xf numFmtId="0" fontId="11" fillId="6" borderId="9" xfId="14" applyFont="1" applyFill="1" applyBorder="1" applyAlignment="1">
      <alignment horizontal="center" vertical="center" wrapText="1"/>
    </xf>
    <xf numFmtId="0" fontId="11" fillId="6" borderId="10" xfId="14" applyFont="1" applyFill="1" applyBorder="1" applyAlignment="1">
      <alignment horizontal="center" vertical="center" wrapText="1"/>
    </xf>
    <xf numFmtId="0" fontId="13" fillId="3" borderId="11" xfId="14" applyFont="1" applyFill="1" applyBorder="1" applyAlignment="1">
      <alignment horizontal="left" vertical="center" wrapText="1"/>
    </xf>
    <xf numFmtId="0" fontId="13" fillId="3" borderId="12" xfId="14" applyFont="1" applyFill="1" applyBorder="1" applyAlignment="1">
      <alignment horizontal="left" vertical="center" wrapText="1"/>
    </xf>
    <xf numFmtId="0" fontId="15" fillId="7" borderId="13" xfId="14" applyFont="1" applyFill="1" applyBorder="1" applyAlignment="1">
      <alignment horizontal="left" vertical="center" wrapText="1"/>
    </xf>
    <xf numFmtId="0" fontId="15" fillId="7" borderId="14" xfId="14" applyFont="1" applyFill="1" applyBorder="1" applyAlignment="1">
      <alignment horizontal="left" vertical="center" wrapText="1"/>
    </xf>
    <xf numFmtId="0" fontId="6" fillId="8" borderId="13" xfId="14" applyFill="1" applyBorder="1" applyAlignment="1">
      <alignment horizontal="left" vertical="center" wrapText="1"/>
    </xf>
    <xf numFmtId="0" fontId="6" fillId="8" borderId="14" xfId="14" applyFill="1" applyBorder="1" applyAlignment="1">
      <alignment horizontal="left" vertical="center" wrapText="1"/>
    </xf>
    <xf numFmtId="0" fontId="15" fillId="7" borderId="19" xfId="14" applyFont="1" applyFill="1" applyBorder="1" applyAlignment="1">
      <alignment horizontal="left" vertical="center" wrapText="1"/>
    </xf>
    <xf numFmtId="0" fontId="15" fillId="7" borderId="1" xfId="14" applyFont="1" applyFill="1" applyBorder="1" applyAlignment="1">
      <alignment horizontal="left" vertical="center" wrapText="1"/>
    </xf>
    <xf numFmtId="10" fontId="6" fillId="0" borderId="16" xfId="14" applyNumberFormat="1" applyBorder="1" applyAlignment="1">
      <alignment horizontal="right" vertical="center" wrapText="1"/>
    </xf>
    <xf numFmtId="10" fontId="6" fillId="0" borderId="17" xfId="14" applyNumberFormat="1" applyBorder="1" applyAlignment="1">
      <alignment horizontal="right" vertical="center" wrapText="1"/>
    </xf>
    <xf numFmtId="10" fontId="6" fillId="0" borderId="18" xfId="14" applyNumberFormat="1" applyBorder="1" applyAlignment="1">
      <alignment horizontal="right" vertical="center" wrapText="1"/>
    </xf>
    <xf numFmtId="0" fontId="6" fillId="0" borderId="13" xfId="14" applyBorder="1" applyAlignment="1">
      <alignment horizontal="left" vertical="center" wrapText="1"/>
    </xf>
    <xf numFmtId="0" fontId="6" fillId="0" borderId="14" xfId="14" applyBorder="1" applyAlignment="1">
      <alignment horizontal="left" vertical="center" wrapText="1"/>
    </xf>
    <xf numFmtId="9" fontId="6" fillId="0" borderId="16" xfId="14" applyNumberFormat="1" applyBorder="1" applyAlignment="1">
      <alignment horizontal="right" vertical="center" wrapText="1"/>
    </xf>
    <xf numFmtId="9" fontId="6" fillId="0" borderId="17" xfId="14" applyNumberFormat="1" applyBorder="1" applyAlignment="1">
      <alignment horizontal="right" vertical="center" wrapText="1"/>
    </xf>
    <xf numFmtId="9" fontId="6" fillId="0" borderId="18" xfId="14" applyNumberFormat="1" applyBorder="1" applyAlignment="1">
      <alignment horizontal="right" vertical="center" wrapText="1"/>
    </xf>
    <xf numFmtId="10" fontId="6" fillId="0" borderId="16" xfId="14" applyNumberFormat="1" applyBorder="1" applyAlignment="1">
      <alignment horizontal="center" vertical="center" wrapText="1"/>
    </xf>
    <xf numFmtId="10" fontId="6" fillId="0" borderId="17" xfId="14" applyNumberFormat="1" applyBorder="1" applyAlignment="1">
      <alignment horizontal="center" vertical="center" wrapText="1"/>
    </xf>
    <xf numFmtId="10" fontId="6" fillId="0" borderId="18" xfId="14" applyNumberFormat="1" applyBorder="1" applyAlignment="1">
      <alignment horizontal="center" vertical="center" wrapText="1"/>
    </xf>
    <xf numFmtId="0" fontId="16" fillId="3" borderId="19" xfId="14" applyFont="1" applyFill="1" applyBorder="1" applyAlignment="1">
      <alignment horizontal="left" vertical="center" wrapText="1"/>
    </xf>
    <xf numFmtId="0" fontId="16" fillId="3" borderId="1" xfId="14" applyFont="1" applyFill="1" applyBorder="1" applyAlignment="1">
      <alignment horizontal="left" vertical="center" wrapText="1"/>
    </xf>
    <xf numFmtId="0" fontId="6" fillId="9" borderId="19" xfId="14" applyFill="1" applyBorder="1" applyAlignment="1">
      <alignment horizontal="center" vertical="center" wrapText="1"/>
    </xf>
    <xf numFmtId="0" fontId="6" fillId="9" borderId="1" xfId="14" applyFill="1" applyBorder="1" applyAlignment="1">
      <alignment horizontal="center" vertical="center" wrapText="1"/>
    </xf>
    <xf numFmtId="0" fontId="6" fillId="9" borderId="20" xfId="14" applyFill="1" applyBorder="1" applyAlignment="1">
      <alignment horizontal="center" vertical="center" wrapText="1"/>
    </xf>
    <xf numFmtId="0" fontId="6" fillId="11" borderId="22" xfId="14" applyFill="1" applyBorder="1" applyAlignment="1">
      <alignment horizontal="left" wrapText="1"/>
    </xf>
    <xf numFmtId="0" fontId="6" fillId="11" borderId="23" xfId="14" applyFill="1" applyBorder="1" applyAlignment="1">
      <alignment horizontal="left" wrapText="1"/>
    </xf>
    <xf numFmtId="0" fontId="20" fillId="0" borderId="13" xfId="14" applyFont="1" applyBorder="1" applyAlignment="1">
      <alignment horizontal="left" vertical="center" wrapText="1"/>
    </xf>
    <xf numFmtId="0" fontId="20" fillId="0" borderId="14" xfId="14" applyFont="1" applyBorder="1" applyAlignment="1">
      <alignment horizontal="left" vertical="center" wrapText="1"/>
    </xf>
    <xf numFmtId="0" fontId="6" fillId="9" borderId="11" xfId="14" applyFill="1" applyBorder="1" applyAlignment="1">
      <alignment horizontal="center" vertical="center" wrapText="1"/>
    </xf>
    <xf numFmtId="0" fontId="6" fillId="9" borderId="12" xfId="14" applyFill="1" applyBorder="1" applyAlignment="1">
      <alignment horizontal="center" vertical="center" wrapText="1"/>
    </xf>
    <xf numFmtId="0" fontId="6" fillId="0" borderId="19" xfId="14" applyBorder="1" applyAlignment="1">
      <alignment horizontal="left" vertical="center" wrapText="1"/>
    </xf>
    <xf numFmtId="0" fontId="6" fillId="0" borderId="1" xfId="14" applyBorder="1" applyAlignment="1">
      <alignment horizontal="left" vertical="center" wrapText="1"/>
    </xf>
    <xf numFmtId="0" fontId="15" fillId="10" borderId="19" xfId="14" applyFont="1" applyFill="1" applyBorder="1" applyAlignment="1">
      <alignment horizontal="left" vertical="center" wrapText="1"/>
    </xf>
    <xf numFmtId="0" fontId="15" fillId="10" borderId="1" xfId="14" applyFont="1" applyFill="1" applyBorder="1" applyAlignment="1">
      <alignment horizontal="left" vertical="center" wrapText="1"/>
    </xf>
    <xf numFmtId="0" fontId="6" fillId="0" borderId="22" xfId="14" applyBorder="1" applyAlignment="1">
      <alignment horizontal="left" wrapText="1"/>
    </xf>
    <xf numFmtId="0" fontId="6" fillId="0" borderId="23" xfId="14" applyBorder="1" applyAlignment="1">
      <alignment horizontal="left" wrapText="1"/>
    </xf>
    <xf numFmtId="0" fontId="26" fillId="13" borderId="33" xfId="14" applyFont="1" applyFill="1" applyBorder="1" applyAlignment="1">
      <alignment horizontal="center" vertical="center" wrapText="1"/>
    </xf>
    <xf numFmtId="0" fontId="26" fillId="13" borderId="37" xfId="14" applyFont="1" applyFill="1" applyBorder="1" applyAlignment="1">
      <alignment horizontal="center" vertical="center" wrapText="1"/>
    </xf>
    <xf numFmtId="0" fontId="26" fillId="13" borderId="41" xfId="14" applyFont="1" applyFill="1" applyBorder="1" applyAlignment="1">
      <alignment horizontal="center" vertical="center" wrapText="1"/>
    </xf>
    <xf numFmtId="0" fontId="28" fillId="14" borderId="22" xfId="14" applyFont="1" applyFill="1" applyBorder="1" applyAlignment="1">
      <alignment horizontal="left" vertical="center"/>
    </xf>
    <xf numFmtId="0" fontId="28" fillId="14" borderId="15" xfId="14" applyFont="1" applyFill="1" applyBorder="1" applyAlignment="1">
      <alignment horizontal="left" vertical="center"/>
    </xf>
    <xf numFmtId="43" fontId="28" fillId="13" borderId="35" xfId="15" applyFont="1" applyFill="1" applyBorder="1" applyAlignment="1" applyProtection="1">
      <alignment horizontal="center" vertical="center" wrapText="1"/>
      <protection locked="0"/>
    </xf>
    <xf numFmtId="43" fontId="28" fillId="13" borderId="36" xfId="15" applyFont="1" applyFill="1" applyBorder="1" applyAlignment="1" applyProtection="1">
      <alignment horizontal="center" vertical="center" wrapText="1"/>
      <protection locked="0"/>
    </xf>
    <xf numFmtId="43" fontId="28" fillId="13" borderId="40" xfId="15" applyFont="1" applyFill="1" applyBorder="1" applyAlignment="1" applyProtection="1">
      <alignment horizontal="center" vertical="center" wrapText="1"/>
      <protection locked="0"/>
    </xf>
    <xf numFmtId="169" fontId="28" fillId="13" borderId="35" xfId="15" applyNumberFormat="1" applyFont="1" applyFill="1" applyBorder="1" applyAlignment="1" applyProtection="1">
      <alignment horizontal="center" vertical="center" wrapText="1"/>
      <protection locked="0"/>
    </xf>
    <xf numFmtId="169" fontId="28" fillId="13" borderId="36" xfId="15" applyNumberFormat="1" applyFont="1" applyFill="1" applyBorder="1" applyAlignment="1" applyProtection="1">
      <alignment horizontal="center" vertical="center" wrapText="1"/>
      <protection locked="0"/>
    </xf>
    <xf numFmtId="169" fontId="28" fillId="13" borderId="40" xfId="15" applyNumberFormat="1" applyFont="1" applyFill="1" applyBorder="1" applyAlignment="1" applyProtection="1">
      <alignment horizontal="center" vertical="center" wrapText="1"/>
      <protection locked="0"/>
    </xf>
    <xf numFmtId="0" fontId="28" fillId="0" borderId="22" xfId="14" applyFont="1" applyBorder="1" applyAlignment="1">
      <alignment horizontal="left" vertical="center"/>
    </xf>
    <xf numFmtId="0" fontId="28" fillId="0" borderId="15" xfId="14" applyFont="1" applyBorder="1" applyAlignment="1">
      <alignment horizontal="left" vertical="center"/>
    </xf>
    <xf numFmtId="0" fontId="24" fillId="9" borderId="11" xfId="14" applyFont="1" applyFill="1" applyBorder="1" applyAlignment="1">
      <alignment horizontal="center" vertical="center" wrapText="1"/>
    </xf>
    <xf numFmtId="0" fontId="24" fillId="9" borderId="26" xfId="14" applyFont="1" applyFill="1" applyBorder="1" applyAlignment="1">
      <alignment horizontal="center" vertical="center" wrapText="1"/>
    </xf>
    <xf numFmtId="0" fontId="25" fillId="12" borderId="11" xfId="14" applyFont="1" applyFill="1" applyBorder="1" applyAlignment="1">
      <alignment horizontal="left" vertical="center" wrapText="1"/>
    </xf>
    <xf numFmtId="0" fontId="25" fillId="12" borderId="26" xfId="14" applyFont="1" applyFill="1" applyBorder="1" applyAlignment="1">
      <alignment horizontal="left" vertical="center" wrapText="1"/>
    </xf>
    <xf numFmtId="0" fontId="26" fillId="12" borderId="22" xfId="14" applyFont="1" applyFill="1" applyBorder="1" applyAlignment="1">
      <alignment horizontal="left" vertical="center" wrapText="1"/>
    </xf>
    <xf numFmtId="0" fontId="26" fillId="12" borderId="15" xfId="14" applyFont="1" applyFill="1" applyBorder="1" applyAlignment="1">
      <alignment horizontal="left" vertical="center" wrapText="1"/>
    </xf>
    <xf numFmtId="0" fontId="26" fillId="12" borderId="29" xfId="14" applyFont="1" applyFill="1" applyBorder="1" applyAlignment="1">
      <alignment horizontal="left" vertical="center" wrapText="1"/>
    </xf>
    <xf numFmtId="0" fontId="26" fillId="12" borderId="30" xfId="14" applyFont="1" applyFill="1" applyBorder="1" applyAlignment="1">
      <alignment horizontal="left" vertical="center" wrapText="1"/>
    </xf>
    <xf numFmtId="0" fontId="26" fillId="12" borderId="31" xfId="14" applyFont="1" applyFill="1" applyBorder="1" applyAlignment="1">
      <alignment horizontal="left" vertical="center" wrapText="1"/>
    </xf>
    <xf numFmtId="9" fontId="27" fillId="13" borderId="32" xfId="21" applyFont="1" applyFill="1" applyBorder="1" applyAlignment="1">
      <alignment horizontal="right" vertical="center" wrapText="1"/>
    </xf>
    <xf numFmtId="9" fontId="27" fillId="13" borderId="36" xfId="21" applyFont="1" applyFill="1" applyBorder="1" applyAlignment="1">
      <alignment horizontal="right" vertical="center" wrapText="1"/>
    </xf>
    <xf numFmtId="9" fontId="27" fillId="13" borderId="40" xfId="21" applyFont="1" applyFill="1" applyBorder="1" applyAlignment="1">
      <alignment horizontal="right" vertical="center" wrapText="1"/>
    </xf>
    <xf numFmtId="0" fontId="28" fillId="14" borderId="13" xfId="14" applyFont="1" applyFill="1" applyBorder="1" applyAlignment="1">
      <alignment horizontal="left" vertical="center"/>
    </xf>
    <xf numFmtId="0" fontId="28" fillId="14" borderId="39" xfId="14" applyFont="1" applyFill="1" applyBorder="1" applyAlignment="1">
      <alignment horizontal="left" vertical="center"/>
    </xf>
    <xf numFmtId="0" fontId="28" fillId="0" borderId="13" xfId="14" applyFont="1" applyBorder="1" applyAlignment="1">
      <alignment horizontal="left" vertical="center"/>
    </xf>
    <xf numFmtId="0" fontId="28" fillId="0" borderId="39" xfId="14" applyFont="1" applyBorder="1" applyAlignment="1">
      <alignment horizontal="left" vertical="center"/>
    </xf>
    <xf numFmtId="0" fontId="24" fillId="0" borderId="22" xfId="14" applyFont="1" applyBorder="1" applyAlignment="1">
      <alignment horizontal="center" vertical="center" wrapText="1"/>
    </xf>
    <xf numFmtId="0" fontId="24" fillId="0" borderId="15" xfId="14" applyFont="1" applyBorder="1" applyAlignment="1">
      <alignment horizontal="center" vertical="center" wrapText="1"/>
    </xf>
    <xf numFmtId="0" fontId="26" fillId="12" borderId="21" xfId="14" applyFont="1" applyFill="1" applyBorder="1" applyAlignment="1">
      <alignment horizontal="left" vertical="center" wrapText="1"/>
    </xf>
    <xf numFmtId="0" fontId="26" fillId="12" borderId="42" xfId="14" applyFont="1" applyFill="1" applyBorder="1" applyAlignment="1">
      <alignment horizontal="left" vertical="center" wrapText="1"/>
    </xf>
    <xf numFmtId="0" fontId="28" fillId="0" borderId="14" xfId="14" applyFont="1" applyBorder="1" applyAlignment="1">
      <alignment horizontal="left" vertical="center"/>
    </xf>
    <xf numFmtId="169" fontId="24" fillId="0" borderId="44" xfId="15" applyNumberFormat="1" applyFont="1" applyBorder="1" applyAlignment="1" applyProtection="1">
      <alignment horizontal="center" vertical="center" wrapText="1"/>
      <protection locked="0"/>
    </xf>
    <xf numFmtId="169" fontId="24" fillId="0" borderId="43" xfId="15" applyNumberFormat="1" applyFont="1" applyBorder="1" applyAlignment="1" applyProtection="1">
      <alignment horizontal="center" vertical="center" wrapText="1"/>
      <protection locked="0"/>
    </xf>
    <xf numFmtId="9" fontId="24" fillId="0" borderId="46" xfId="21" applyFont="1" applyBorder="1" applyAlignment="1">
      <alignment horizontal="right" vertical="center" wrapText="1"/>
    </xf>
    <xf numFmtId="9" fontId="24" fillId="0" borderId="0" xfId="21" applyFont="1" applyAlignment="1">
      <alignment horizontal="right" vertical="center" wrapText="1"/>
    </xf>
    <xf numFmtId="169" fontId="24" fillId="13" borderId="33" xfId="15" applyNumberFormat="1" applyFont="1" applyFill="1" applyBorder="1" applyAlignment="1" applyProtection="1">
      <alignment horizontal="center" vertical="center" wrapText="1"/>
      <protection locked="0"/>
    </xf>
    <xf numFmtId="169" fontId="24" fillId="13" borderId="37" xfId="15" applyNumberFormat="1" applyFont="1" applyFill="1" applyBorder="1" applyAlignment="1" applyProtection="1">
      <alignment horizontal="center" vertical="center" wrapText="1"/>
      <protection locked="0"/>
    </xf>
    <xf numFmtId="0" fontId="28" fillId="14" borderId="14" xfId="14" applyFont="1" applyFill="1" applyBorder="1" applyAlignment="1">
      <alignment horizontal="left" vertical="center"/>
    </xf>
    <xf numFmtId="0" fontId="28" fillId="14" borderId="13" xfId="14" applyFont="1" applyFill="1" applyBorder="1" applyAlignment="1">
      <alignment horizontal="left" vertical="center" wrapText="1"/>
    </xf>
    <xf numFmtId="0" fontId="28" fillId="14" borderId="14" xfId="14" applyFont="1" applyFill="1" applyBorder="1" applyAlignment="1">
      <alignment horizontal="left" vertical="center" wrapText="1"/>
    </xf>
    <xf numFmtId="0" fontId="28" fillId="0" borderId="13" xfId="14" applyFont="1" applyBorder="1" applyAlignment="1">
      <alignment horizontal="left" vertical="center" wrapText="1"/>
    </xf>
    <xf numFmtId="0" fontId="28" fillId="0" borderId="14" xfId="14" applyFont="1" applyBorder="1" applyAlignment="1">
      <alignment horizontal="left" vertical="center" wrapText="1"/>
    </xf>
    <xf numFmtId="43" fontId="24" fillId="0" borderId="44" xfId="15" applyFont="1" applyBorder="1" applyAlignment="1" applyProtection="1">
      <alignment horizontal="center" vertical="center" wrapText="1"/>
      <protection locked="0"/>
    </xf>
    <xf numFmtId="43" fontId="24" fillId="0" borderId="43" xfId="15" applyFont="1" applyBorder="1" applyAlignment="1" applyProtection="1">
      <alignment horizontal="center" vertical="center" wrapText="1"/>
      <protection locked="0"/>
    </xf>
    <xf numFmtId="0" fontId="24" fillId="0" borderId="11" xfId="14" applyFont="1" applyBorder="1" applyAlignment="1">
      <alignment horizontal="center" vertical="center" wrapText="1"/>
    </xf>
    <xf numFmtId="0" fontId="24" fillId="0" borderId="26" xfId="14" applyFont="1" applyBorder="1" applyAlignment="1">
      <alignment horizontal="center" vertical="center" wrapText="1"/>
    </xf>
    <xf numFmtId="0" fontId="26" fillId="12" borderId="48" xfId="14" applyFont="1" applyFill="1" applyBorder="1" applyAlignment="1">
      <alignment horizontal="left" vertical="center" wrapText="1"/>
    </xf>
    <xf numFmtId="0" fontId="26" fillId="12" borderId="28" xfId="14" applyFont="1" applyFill="1" applyBorder="1" applyAlignment="1">
      <alignment horizontal="left" vertical="center" wrapText="1"/>
    </xf>
    <xf numFmtId="0" fontId="26" fillId="12" borderId="19" xfId="14" applyFont="1" applyFill="1" applyBorder="1" applyAlignment="1">
      <alignment horizontal="left" vertical="center" wrapText="1"/>
    </xf>
    <xf numFmtId="0" fontId="26" fillId="12" borderId="20" xfId="14" applyFont="1" applyFill="1" applyBorder="1" applyAlignment="1">
      <alignment horizontal="left" vertical="center" wrapText="1"/>
    </xf>
    <xf numFmtId="0" fontId="24" fillId="0" borderId="13" xfId="14" applyFont="1" applyBorder="1" applyAlignment="1">
      <alignment horizontal="left" vertical="center" wrapText="1"/>
    </xf>
    <xf numFmtId="0" fontId="24" fillId="0" borderId="39" xfId="14" applyFont="1" applyBorder="1" applyAlignment="1">
      <alignment horizontal="left" vertical="center" wrapText="1"/>
    </xf>
    <xf numFmtId="0" fontId="24" fillId="0" borderId="19" xfId="14" applyFont="1" applyBorder="1" applyAlignment="1">
      <alignment horizontal="left" vertical="center" wrapText="1"/>
    </xf>
    <xf numFmtId="0" fontId="24" fillId="0" borderId="20" xfId="14" applyFont="1" applyBorder="1" applyAlignment="1">
      <alignment horizontal="left" vertical="center" wrapText="1"/>
    </xf>
    <xf numFmtId="0" fontId="30" fillId="12" borderId="19" xfId="14" applyFont="1" applyFill="1" applyBorder="1" applyAlignment="1">
      <alignment horizontal="left" vertical="center" wrapText="1"/>
    </xf>
    <xf numFmtId="0" fontId="30" fillId="12" borderId="20" xfId="14" applyFont="1" applyFill="1" applyBorder="1" applyAlignment="1">
      <alignment horizontal="left" vertical="center" wrapText="1"/>
    </xf>
    <xf numFmtId="0" fontId="24" fillId="9" borderId="48" xfId="14" applyFont="1" applyFill="1" applyBorder="1" applyAlignment="1">
      <alignment horizontal="center" vertical="center" wrapText="1"/>
    </xf>
    <xf numFmtId="0" fontId="24" fillId="9" borderId="28" xfId="14" applyFont="1" applyFill="1" applyBorder="1" applyAlignment="1">
      <alignment horizontal="center" vertical="center" wrapText="1"/>
    </xf>
    <xf numFmtId="0" fontId="6" fillId="8" borderId="23" xfId="14" applyFill="1" applyBorder="1" applyAlignment="1">
      <alignment horizontal="left" vertical="center"/>
    </xf>
    <xf numFmtId="0" fontId="6" fillId="8" borderId="14" xfId="14" applyFill="1" applyBorder="1" applyAlignment="1">
      <alignment horizontal="left" vertical="center"/>
    </xf>
    <xf numFmtId="0" fontId="6" fillId="8" borderId="38" xfId="14" applyFill="1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8" xfId="0" applyBorder="1" applyAlignment="1">
      <alignment horizontal="left"/>
    </xf>
    <xf numFmtId="0" fontId="38" fillId="0" borderId="23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14" fillId="0" borderId="1" xfId="14" applyFont="1" applyBorder="1" applyAlignment="1">
      <alignment horizontal="left" wrapText="1"/>
    </xf>
    <xf numFmtId="0" fontId="6" fillId="0" borderId="23" xfId="14" applyBorder="1" applyAlignment="1">
      <alignment horizontal="left" vertical="center" wrapText="1"/>
    </xf>
    <xf numFmtId="0" fontId="6" fillId="0" borderId="38" xfId="14" applyBorder="1" applyAlignment="1">
      <alignment horizontal="left" vertical="center" wrapText="1"/>
    </xf>
    <xf numFmtId="0" fontId="6" fillId="8" borderId="23" xfId="14" applyFill="1" applyBorder="1" applyAlignment="1">
      <alignment horizontal="left" vertical="center" wrapText="1"/>
    </xf>
    <xf numFmtId="0" fontId="6" fillId="8" borderId="38" xfId="14" applyFill="1" applyBorder="1" applyAlignment="1">
      <alignment horizontal="left" vertical="center" wrapText="1"/>
    </xf>
    <xf numFmtId="0" fontId="40" fillId="3" borderId="23" xfId="62" applyFont="1" applyFill="1" applyBorder="1" applyAlignment="1">
      <alignment horizontal="left" vertical="center"/>
    </xf>
    <xf numFmtId="0" fontId="40" fillId="3" borderId="14" xfId="62" applyFont="1" applyFill="1" applyBorder="1" applyAlignment="1">
      <alignment horizontal="left" vertical="center"/>
    </xf>
    <xf numFmtId="0" fontId="40" fillId="3" borderId="38" xfId="62" applyFont="1" applyFill="1" applyBorder="1" applyAlignment="1">
      <alignment horizontal="left" vertical="center"/>
    </xf>
    <xf numFmtId="0" fontId="40" fillId="17" borderId="23" xfId="62" applyFont="1" applyFill="1" applyBorder="1" applyAlignment="1">
      <alignment horizontal="left" vertical="center"/>
    </xf>
    <xf numFmtId="0" fontId="40" fillId="17" borderId="14" xfId="62" applyFont="1" applyFill="1" applyBorder="1" applyAlignment="1">
      <alignment horizontal="left" vertical="center"/>
    </xf>
    <xf numFmtId="0" fontId="40" fillId="17" borderId="38" xfId="62" applyFont="1" applyFill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8" xfId="0" applyBorder="1" applyAlignment="1">
      <alignment horizontal="center"/>
    </xf>
    <xf numFmtId="0" fontId="14" fillId="0" borderId="0" xfId="14" applyFont="1" applyAlignment="1">
      <alignment horizontal="center" vertical="center" wrapText="1"/>
    </xf>
    <xf numFmtId="0" fontId="41" fillId="14" borderId="23" xfId="62" applyFont="1" applyFill="1" applyBorder="1" applyAlignment="1">
      <alignment horizontal="left" vertical="center"/>
    </xf>
    <xf numFmtId="0" fontId="41" fillId="14" borderId="14" xfId="62" applyFont="1" applyFill="1" applyBorder="1" applyAlignment="1">
      <alignment horizontal="left" vertical="center"/>
    </xf>
    <xf numFmtId="0" fontId="41" fillId="14" borderId="38" xfId="62" applyFont="1" applyFill="1" applyBorder="1" applyAlignment="1">
      <alignment horizontal="left" vertical="center"/>
    </xf>
    <xf numFmtId="0" fontId="41" fillId="0" borderId="23" xfId="62" applyFont="1" applyBorder="1" applyAlignment="1">
      <alignment horizontal="left" vertical="center"/>
    </xf>
    <xf numFmtId="0" fontId="41" fillId="0" borderId="14" xfId="62" applyFont="1" applyBorder="1" applyAlignment="1">
      <alignment horizontal="left" vertical="center"/>
    </xf>
    <xf numFmtId="0" fontId="41" fillId="0" borderId="38" xfId="62" applyFont="1" applyBorder="1" applyAlignment="1">
      <alignment horizontal="left" vertical="center"/>
    </xf>
    <xf numFmtId="0" fontId="6" fillId="17" borderId="23" xfId="14" applyFill="1" applyBorder="1" applyAlignment="1">
      <alignment horizontal="left" vertical="center"/>
    </xf>
    <xf numFmtId="0" fontId="6" fillId="17" borderId="14" xfId="14" applyFill="1" applyBorder="1" applyAlignment="1">
      <alignment horizontal="left" vertical="center"/>
    </xf>
    <xf numFmtId="0" fontId="6" fillId="17" borderId="38" xfId="14" applyFill="1" applyBorder="1" applyAlignment="1">
      <alignment horizontal="left" vertical="center"/>
    </xf>
    <xf numFmtId="0" fontId="40" fillId="0" borderId="23" xfId="62" applyFont="1" applyBorder="1" applyAlignment="1">
      <alignment horizontal="left" vertical="center"/>
    </xf>
    <xf numFmtId="0" fontId="40" fillId="0" borderId="14" xfId="62" applyFont="1" applyBorder="1" applyAlignment="1">
      <alignment horizontal="left" vertical="center"/>
    </xf>
    <xf numFmtId="0" fontId="40" fillId="0" borderId="38" xfId="62" applyFont="1" applyBorder="1" applyAlignment="1">
      <alignment horizontal="left" vertical="center"/>
    </xf>
    <xf numFmtId="0" fontId="40" fillId="5" borderId="23" xfId="62" applyFont="1" applyFill="1" applyBorder="1" applyAlignment="1">
      <alignment horizontal="left" vertical="center"/>
    </xf>
    <xf numFmtId="0" fontId="40" fillId="5" borderId="14" xfId="62" applyFont="1" applyFill="1" applyBorder="1" applyAlignment="1">
      <alignment horizontal="left" vertical="center"/>
    </xf>
    <xf numFmtId="0" fontId="40" fillId="5" borderId="38" xfId="62" applyFont="1" applyFill="1" applyBorder="1" applyAlignment="1">
      <alignment horizontal="left" vertical="center"/>
    </xf>
    <xf numFmtId="0" fontId="40" fillId="2" borderId="23" xfId="62" applyFont="1" applyFill="1" applyBorder="1" applyAlignment="1">
      <alignment horizontal="left" vertical="center"/>
    </xf>
    <xf numFmtId="0" fontId="40" fillId="2" borderId="14" xfId="62" applyFont="1" applyFill="1" applyBorder="1" applyAlignment="1">
      <alignment horizontal="left" vertical="center"/>
    </xf>
    <xf numFmtId="0" fontId="40" fillId="2" borderId="38" xfId="62" applyFont="1" applyFill="1" applyBorder="1" applyAlignment="1">
      <alignment horizontal="left" vertical="center"/>
    </xf>
    <xf numFmtId="0" fontId="6" fillId="5" borderId="23" xfId="14" applyFill="1" applyBorder="1" applyAlignment="1">
      <alignment horizontal="left" vertical="center"/>
    </xf>
    <xf numFmtId="0" fontId="6" fillId="5" borderId="14" xfId="14" applyFill="1" applyBorder="1" applyAlignment="1">
      <alignment horizontal="left" vertical="center"/>
    </xf>
    <xf numFmtId="0" fontId="6" fillId="5" borderId="38" xfId="14" applyFill="1" applyBorder="1" applyAlignment="1">
      <alignment horizontal="left" vertical="center"/>
    </xf>
    <xf numFmtId="0" fontId="6" fillId="3" borderId="23" xfId="14" applyFill="1" applyBorder="1" applyAlignment="1">
      <alignment horizontal="left" vertical="center"/>
    </xf>
    <xf numFmtId="0" fontId="6" fillId="3" borderId="14" xfId="14" applyFill="1" applyBorder="1" applyAlignment="1">
      <alignment horizontal="left" vertical="center"/>
    </xf>
    <xf numFmtId="0" fontId="6" fillId="3" borderId="38" xfId="14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6" fillId="2" borderId="23" xfId="14" applyFill="1" applyBorder="1" applyAlignment="1">
      <alignment horizontal="left" vertical="center"/>
    </xf>
    <xf numFmtId="0" fontId="6" fillId="2" borderId="14" xfId="14" applyFill="1" applyBorder="1" applyAlignment="1">
      <alignment horizontal="left" vertical="center"/>
    </xf>
    <xf numFmtId="0" fontId="6" fillId="2" borderId="38" xfId="14" applyFill="1" applyBorder="1" applyAlignment="1">
      <alignment horizontal="left" vertical="center"/>
    </xf>
    <xf numFmtId="0" fontId="32" fillId="0" borderId="2" xfId="14" applyFont="1" applyBorder="1" applyAlignment="1">
      <alignment horizontal="left" vertical="center" wrapText="1"/>
    </xf>
    <xf numFmtId="0" fontId="6" fillId="3" borderId="2" xfId="14" applyFill="1" applyBorder="1" applyAlignment="1">
      <alignment horizontal="left" vertical="center"/>
    </xf>
    <xf numFmtId="0" fontId="30" fillId="12" borderId="51" xfId="14" applyFont="1" applyFill="1" applyBorder="1" applyAlignment="1">
      <alignment horizontal="left" vertical="center" wrapText="1"/>
    </xf>
    <xf numFmtId="0" fontId="30" fillId="12" borderId="52" xfId="14" applyFont="1" applyFill="1" applyBorder="1" applyAlignment="1">
      <alignment horizontal="left" vertical="center" wrapText="1"/>
    </xf>
    <xf numFmtId="0" fontId="6" fillId="8" borderId="2" xfId="14" applyFill="1" applyBorder="1" applyAlignment="1">
      <alignment horizontal="left" vertical="center"/>
    </xf>
    <xf numFmtId="0" fontId="24" fillId="14" borderId="2" xfId="14" applyFont="1" applyFill="1" applyBorder="1" applyAlignment="1">
      <alignment horizontal="left" vertical="center" wrapText="1"/>
    </xf>
    <xf numFmtId="0" fontId="24" fillId="0" borderId="2" xfId="14" applyFont="1" applyBorder="1" applyAlignment="1">
      <alignment horizontal="left" vertical="center" wrapText="1"/>
    </xf>
    <xf numFmtId="0" fontId="24" fillId="14" borderId="23" xfId="14" applyFont="1" applyFill="1" applyBorder="1" applyAlignment="1">
      <alignment horizontal="left" vertical="center"/>
    </xf>
    <xf numFmtId="0" fontId="24" fillId="14" borderId="38" xfId="14" applyFont="1" applyFill="1" applyBorder="1" applyAlignment="1">
      <alignment horizontal="left" vertical="center"/>
    </xf>
    <xf numFmtId="0" fontId="14" fillId="3" borderId="48" xfId="14" applyFont="1" applyFill="1" applyBorder="1" applyAlignment="1">
      <alignment horizontal="center" vertical="center" wrapText="1"/>
    </xf>
    <xf numFmtId="0" fontId="14" fillId="3" borderId="49" xfId="14" applyFont="1" applyFill="1" applyBorder="1" applyAlignment="1">
      <alignment horizontal="center" vertical="center" wrapText="1"/>
    </xf>
    <xf numFmtId="0" fontId="14" fillId="3" borderId="28" xfId="14" applyFont="1" applyFill="1" applyBorder="1" applyAlignment="1">
      <alignment horizontal="center" vertical="center" wrapText="1"/>
    </xf>
    <xf numFmtId="167" fontId="10" fillId="0" borderId="0" xfId="14" applyNumberFormat="1" applyFont="1" applyAlignment="1">
      <alignment wrapText="1"/>
    </xf>
    <xf numFmtId="167" fontId="0" fillId="2" borderId="2" xfId="19" applyNumberFormat="1" applyFont="1" applyFill="1" applyBorder="1"/>
    <xf numFmtId="167" fontId="0" fillId="18" borderId="2" xfId="19" applyNumberFormat="1" applyFont="1" applyFill="1" applyBorder="1"/>
    <xf numFmtId="167" fontId="0" fillId="15" borderId="2" xfId="19" applyNumberFormat="1" applyFont="1" applyFill="1" applyBorder="1"/>
  </cellXfs>
  <cellStyles count="81">
    <cellStyle name="Comma" xfId="19" builtinId="3"/>
    <cellStyle name="Comma [0] 2" xfId="4" xr:uid="{3C22EF62-5853-4AFD-AE70-C7B0123DC6F5}"/>
    <cellStyle name="Comma [0] 2 2" xfId="64" xr:uid="{96E42C0D-14A7-416E-8675-925DFE5339D0}"/>
    <cellStyle name="Comma [0] 2 3" xfId="45" xr:uid="{2ACDE236-EF6E-4F93-8AB8-BECD350D028A}"/>
    <cellStyle name="Comma 10" xfId="8" xr:uid="{5DBE6A4F-0CFA-450C-8B02-7FC211CA7C95}"/>
    <cellStyle name="Comma 10 2" xfId="61" xr:uid="{1E43247B-CADD-4B04-A185-733342B32526}"/>
    <cellStyle name="Comma 10 3" xfId="50" xr:uid="{D00988C0-3AE6-4DE0-B235-B914A4615F7C}"/>
    <cellStyle name="Comma 11" xfId="30" xr:uid="{5C23E966-0407-459B-8A04-0D8F0AF2F5C3}"/>
    <cellStyle name="Comma 12" xfId="75" xr:uid="{8FB53C2B-85DF-4BA4-9A07-24AFFB12D6EC}"/>
    <cellStyle name="Comma 13" xfId="78" xr:uid="{18E98946-7508-4A73-B4CF-5FF9CC963486}"/>
    <cellStyle name="Comma 14" xfId="77" xr:uid="{43A03ACF-83FB-418F-B868-E0F36963E1D1}"/>
    <cellStyle name="Comma 15" xfId="27" xr:uid="{5123E4FF-A710-495C-ABDB-02C532C6319D}"/>
    <cellStyle name="Comma 16" xfId="76" xr:uid="{26478B45-8638-43C2-88CC-B13C0246D3C0}"/>
    <cellStyle name="Comma 17" xfId="74" xr:uid="{65169B10-E3FE-40D3-AB6F-99C6E79E34FB}"/>
    <cellStyle name="Comma 18" xfId="80" xr:uid="{B0704662-932D-49E2-8989-CAA167E2B13C}"/>
    <cellStyle name="Comma 19" xfId="15" xr:uid="{D14A0548-BFF3-4259-B354-B92738845621}"/>
    <cellStyle name="Comma 2" xfId="2" xr:uid="{C211D2CD-15E7-43A1-9F86-AFC884F25185}"/>
    <cellStyle name="Comma 2 2" xfId="12" xr:uid="{56C8FE99-C4D5-43D8-94AE-914745B851D0}"/>
    <cellStyle name="Comma 2 2 2" xfId="67" xr:uid="{8E7A8B14-6FC7-4FED-89C2-D1A09521669C}"/>
    <cellStyle name="Comma 2 2 2 2" xfId="72" xr:uid="{A79B8E66-8D25-41AB-8700-512148604394}"/>
    <cellStyle name="Comma 2 2 3" xfId="57" xr:uid="{B0BB0228-7431-4C2D-BA5F-144A2ECF3FC5}"/>
    <cellStyle name="Comma 2 3" xfId="26" xr:uid="{A3A711A5-6435-47CA-88A5-B093CAADEF71}"/>
    <cellStyle name="Comma 3" xfId="13" xr:uid="{82C4BBD5-69D3-4297-BB54-921DC045C140}"/>
    <cellStyle name="Comma 3 2" xfId="44" xr:uid="{4FABF513-2C16-41D4-8B76-ED346D078676}"/>
    <cellStyle name="Comma 4" xfId="51" xr:uid="{E56C1960-F0D1-430D-9BF9-68F316CC01F4}"/>
    <cellStyle name="Comma 5" xfId="63" xr:uid="{634EAA2C-3F68-4221-8F09-8619FFFDF061}"/>
    <cellStyle name="Comma 6" xfId="69" xr:uid="{8845D345-B91C-41F5-9A3C-5B7C441C4EE0}"/>
    <cellStyle name="Comma 7" xfId="68" xr:uid="{2F26C26F-D70D-499B-9617-864FDB4D1477}"/>
    <cellStyle name="Comma 8" xfId="73" xr:uid="{C90CDCDC-76B7-49CF-B270-872A0A7F29AD}"/>
    <cellStyle name="Comma 9" xfId="22" xr:uid="{D74954CA-42F7-460C-940D-AA558FAF9C70}"/>
    <cellStyle name="Hyperlink 2" xfId="18" xr:uid="{3561860C-2AB8-4BFB-9D24-0931E9DDD081}"/>
    <cellStyle name="Hyperlink 2 2" xfId="38" xr:uid="{24308B5F-C6C6-408F-9010-6843A0CDCB4F}"/>
    <cellStyle name="Hyperlink 2 3" xfId="23" xr:uid="{DB2033D8-FED5-491F-9C9D-0461F5182160}"/>
    <cellStyle name="Milliers 2" xfId="7" xr:uid="{14062533-ABD8-45C4-81A8-946BD3B3A52B}"/>
    <cellStyle name="Milliers 2 2" xfId="54" xr:uid="{20B00A8F-FA44-476A-9548-6A0D1B0AF236}"/>
    <cellStyle name="Milliers 2 3" xfId="33" xr:uid="{CEE060FF-8EED-4F12-9E8B-62EBF1387AEF}"/>
    <cellStyle name="Milliers 2 4" xfId="17" xr:uid="{90FEFE40-1F2D-4380-A8BC-B5FDFDD8E182}"/>
    <cellStyle name="Milliers 2 4 2" xfId="60" xr:uid="{7F7BAF90-F194-4A15-AAC1-B5A28697995E}"/>
    <cellStyle name="Milliers 2 4 3" xfId="41" xr:uid="{A85461BD-F57C-441C-AE2A-7857D9052066}"/>
    <cellStyle name="Normal" xfId="0" builtinId="0"/>
    <cellStyle name="Normal 10" xfId="14" xr:uid="{81FD4969-E837-4303-8B8A-D43585B81448}"/>
    <cellStyle name="Normal 11" xfId="66" xr:uid="{9EF39B32-D89C-4C22-A7C1-62A3F8C64E7B}"/>
    <cellStyle name="Normal 11 2" xfId="47" xr:uid="{D1B66D51-9E62-4861-906C-007E9536D7B6}"/>
    <cellStyle name="Normal 115" xfId="58" xr:uid="{02D90CF1-BA9C-4DAC-A635-2A4D84AD7AB6}"/>
    <cellStyle name="Normal 12" xfId="71" xr:uid="{392F2016-F596-46E7-92E9-FF23E88D7226}"/>
    <cellStyle name="Normal 16" xfId="56" xr:uid="{1DB518DB-1F02-4B24-B62F-A139485D0AC7}"/>
    <cellStyle name="Normal 18" xfId="10" xr:uid="{FC7FEB8F-0D5D-4349-AF85-A589984A859F}"/>
    <cellStyle name="Normal 18 2" xfId="48" xr:uid="{4A0BA15B-36B1-4FE1-9141-863AA8B3E00B}"/>
    <cellStyle name="Normal 18 3" xfId="65" xr:uid="{808247B2-50F1-4523-84D2-D944210F7D20}"/>
    <cellStyle name="Normal 18 4" xfId="36" xr:uid="{C47C1579-FF70-46E4-83C2-864F39B7B5BE}"/>
    <cellStyle name="Normal 2" xfId="11" xr:uid="{D6D8E631-B6F2-4D81-83E3-12DCA367B141}"/>
    <cellStyle name="Normal 2 11 10" xfId="31" xr:uid="{489081C1-BDA0-490A-B1A9-7E722C1C0060}"/>
    <cellStyle name="Normal 2 2" xfId="25" xr:uid="{B66E4E0B-943D-4575-AFC0-A3A1C58A0CBF}"/>
    <cellStyle name="Normal 2 7 2" xfId="40" xr:uid="{7973750A-F5C2-41CB-8097-89A1FB22BA47}"/>
    <cellStyle name="Normal 3" xfId="1" xr:uid="{6B729FAE-7A4C-478E-9B19-67E2E55276AA}"/>
    <cellStyle name="Normal 3 2" xfId="28" xr:uid="{6082F72C-D4F2-41F8-B9FA-B3A0EF71A0F1}"/>
    <cellStyle name="Normal 4" xfId="5" xr:uid="{29297896-340F-46A5-8833-76740368DBEF}"/>
    <cellStyle name="Normal 4 2" xfId="46" xr:uid="{3BD28932-89C4-4972-AA69-7F786D8BF814}"/>
    <cellStyle name="Normal 4 3" xfId="55" xr:uid="{E8C5F5EF-0EA1-4BAD-A88E-3EBE828397B1}"/>
    <cellStyle name="Normal 4 4" xfId="43" xr:uid="{34E46E05-DB7A-4C3D-A4C9-CBE5404521A6}"/>
    <cellStyle name="Normal 5" xfId="6" xr:uid="{F2F62B75-0EFC-4BAD-A3D2-9383FB1DC672}"/>
    <cellStyle name="Normal 5 2" xfId="32" xr:uid="{FD4C5911-7655-41FD-B97B-2D115A1AE3F7}"/>
    <cellStyle name="Normal 6" xfId="9" xr:uid="{8DE5018F-0429-4A79-937D-CBCD22B899F0}"/>
    <cellStyle name="Normal 6 2" xfId="53" xr:uid="{51B3CF74-1453-44FE-AEF9-ED36D99F1F57}"/>
    <cellStyle name="Normal 7" xfId="49" xr:uid="{2AA4B348-30FC-429B-B7DE-1FE2DDFFBD73}"/>
    <cellStyle name="Normal 8" xfId="62" xr:uid="{791FD7C1-1C1D-42CD-B332-8F83D36B125D}"/>
    <cellStyle name="Normal 9" xfId="52" xr:uid="{10D2E928-2237-41F6-ABC2-B66E38AF7EFA}"/>
    <cellStyle name="Per cent" xfId="20" builtinId="5"/>
    <cellStyle name="Per cent 2" xfId="3" xr:uid="{D12AEFA4-6D03-4D7E-91AC-9EDBE92BB788}"/>
    <cellStyle name="Per cent 3" xfId="21" xr:uid="{19D31C52-B5A2-40E2-85B5-4CA0E48043AA}"/>
    <cellStyle name="Per cent 4" xfId="79" xr:uid="{1B7802DB-F137-4CCF-A087-3C9F7FB68E57}"/>
    <cellStyle name="Percent 2" xfId="24" xr:uid="{638BBCDB-322C-47A4-BFDD-1FA624749ED0}"/>
    <cellStyle name="Percent 2 2" xfId="34" xr:uid="{B65DDB34-CA4B-40B2-AAAD-041BA1245945}"/>
    <cellStyle name="Percent 3" xfId="29" xr:uid="{1EAF62B7-8F0B-4325-A2EF-F19A3F6300FE}"/>
    <cellStyle name="Percent 4" xfId="37" xr:uid="{F5E58FBC-855F-430C-B4C1-32CD3BC9E5F6}"/>
    <cellStyle name="Percent 5" xfId="59" xr:uid="{25DE7FD0-8D12-428D-9ABF-B364D20F249D}"/>
    <cellStyle name="Percent 6" xfId="70" xr:uid="{91C568E7-903A-4D24-932C-EB2754FD452C}"/>
    <cellStyle name="Percent 7" xfId="16" xr:uid="{F05E04CC-F587-42FE-94B5-818D09BBB667}"/>
    <cellStyle name="Percent 7 2" xfId="39" xr:uid="{78A1B5DE-F56F-492D-8913-A434826C7958}"/>
    <cellStyle name="Percent 7 3" xfId="35" xr:uid="{278824FF-1FE0-48D6-A782-A89062B4B1B1}"/>
    <cellStyle name="Percent 8" xfId="42" xr:uid="{B02664AE-B74D-442F-8D55-0002E9FF1D1D}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jn%20documenten\Grant%20Contributing%20to%20Peacefull%20and%20Safe%20Societies\Berghof%20Foundation\Budget%20in%20Excel%20format%20BERGHOF%20FOUND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for use!"/>
      <sheetName val="1. Model budget by year"/>
      <sheetName val="2. Model budget by result"/>
      <sheetName val="3. Model budget by country"/>
    </sheetNames>
    <sheetDataSet>
      <sheetData sheetId="0"/>
      <sheetData sheetId="1">
        <row r="12">
          <cell r="B12" t="str">
            <v>A. Staff costs for non-local personnel of applicant</v>
          </cell>
        </row>
        <row r="13">
          <cell r="B13" t="str">
            <v>B. Staff costs for local personnel of applicant</v>
          </cell>
        </row>
      </sheetData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2128-4FA8-449C-B49F-E8848C1698B0}">
  <dimension ref="B1:M46"/>
  <sheetViews>
    <sheetView zoomScaleNormal="100" workbookViewId="0">
      <selection activeCell="B3" sqref="B3:D3"/>
    </sheetView>
  </sheetViews>
  <sheetFormatPr defaultColWidth="9" defaultRowHeight="12.75" x14ac:dyDescent="0.2"/>
  <cols>
    <col min="1" max="1" width="3" style="3" customWidth="1"/>
    <col min="2" max="2" width="24.42578125" style="2" customWidth="1"/>
    <col min="3" max="3" width="48.28515625" style="2" customWidth="1"/>
    <col min="4" max="5" width="20.5703125" style="2" customWidth="1"/>
    <col min="6" max="7" width="26.28515625" style="2" customWidth="1"/>
    <col min="8" max="8" width="58.28515625" style="2" customWidth="1"/>
    <col min="9" max="16384" width="9" style="3"/>
  </cols>
  <sheetData>
    <row r="1" spans="2:13" ht="13.5" thickBot="1" x14ac:dyDescent="0.25"/>
    <row r="2" spans="2:13" ht="31.5" customHeight="1" x14ac:dyDescent="0.2">
      <c r="B2" s="161" t="s">
        <v>159</v>
      </c>
      <c r="C2" s="162"/>
      <c r="D2" s="163"/>
      <c r="E2" s="3"/>
      <c r="F2" s="3"/>
      <c r="G2" s="3"/>
    </row>
    <row r="3" spans="2:13" ht="30.75" customHeight="1" thickBot="1" x14ac:dyDescent="0.25">
      <c r="B3" s="164" t="s">
        <v>7</v>
      </c>
      <c r="C3" s="165"/>
      <c r="D3" s="166"/>
      <c r="E3" s="3"/>
      <c r="F3" s="3"/>
      <c r="G3" s="3"/>
    </row>
    <row r="4" spans="2:13" ht="14.25" customHeight="1" thickBot="1" x14ac:dyDescent="0.25">
      <c r="B4" s="4"/>
      <c r="C4" s="5"/>
      <c r="D4" s="5"/>
      <c r="E4" s="5"/>
      <c r="F4" s="5"/>
      <c r="G4" s="5"/>
      <c r="H4" s="5"/>
    </row>
    <row r="5" spans="2:13" ht="38.25" x14ac:dyDescent="0.2">
      <c r="B5" s="167" t="s">
        <v>8</v>
      </c>
      <c r="C5" s="168"/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</row>
    <row r="6" spans="2:13" x14ac:dyDescent="0.2">
      <c r="B6" s="169" t="s">
        <v>14</v>
      </c>
      <c r="C6" s="170"/>
      <c r="D6" s="7"/>
      <c r="E6" s="7"/>
      <c r="F6" s="7"/>
      <c r="G6" s="7"/>
      <c r="H6" s="7"/>
    </row>
    <row r="7" spans="2:13" x14ac:dyDescent="0.2">
      <c r="B7" s="171" t="s">
        <v>15</v>
      </c>
      <c r="C7" s="172"/>
      <c r="D7" s="8">
        <v>992896.74077151832</v>
      </c>
      <c r="E7" s="8">
        <f>'3. Model budget by country'!C33+'3. Model budget by country'!C44+'3. Model budget by country'!C45+'3. Model budget by country'!C46+'3. Model budget by country'!C47+'3. Model budget by country'!C48+'3. Model budget by country'!C61+'3. Model budget by country'!C62+'3. Model budget by country'!C63+'3. Model budget by country'!C64+'3. Model budget by country'!C88+'3. Model budget by country'!C98+'3. Model budget by country'!C103</f>
        <v>461619.21519793995</v>
      </c>
      <c r="F7" s="8">
        <f>D7-E7</f>
        <v>531277.52557357843</v>
      </c>
      <c r="G7" s="180">
        <f>IFERROR(SUM(E7:E10)/SUM(D7:D10), 0)</f>
        <v>0.42822798350751817</v>
      </c>
      <c r="H7" s="175"/>
    </row>
    <row r="8" spans="2:13" x14ac:dyDescent="0.2">
      <c r="B8" s="178" t="s">
        <v>16</v>
      </c>
      <c r="C8" s="179"/>
      <c r="D8" s="9">
        <v>515271.04525707994</v>
      </c>
      <c r="E8" s="9">
        <f>'3. Model budget by country'!C34+'3. Model budget by country'!C49+'3. Model budget by country'!C50+'3. Model budget by country'!C51+'3. Model budget by country'!C52+'3. Model budget by country'!C65+'3. Model budget by country'!C66+'3. Model budget by country'!C89</f>
        <v>172101.21247968409</v>
      </c>
      <c r="F8" s="9">
        <f t="shared" ref="F8:F10" si="0">D8-E8</f>
        <v>343169.83277739584</v>
      </c>
      <c r="G8" s="181"/>
      <c r="H8" s="176"/>
    </row>
    <row r="9" spans="2:13" x14ac:dyDescent="0.2">
      <c r="B9" s="171" t="s">
        <v>17</v>
      </c>
      <c r="C9" s="172"/>
      <c r="D9" s="8">
        <v>137166.29856518173</v>
      </c>
      <c r="E9" s="8">
        <f>'3. Model budget by country'!C35+'3. Model budget by country'!C37+'3. Model budget by country'!C39+'3. Model budget by country'!C53+'3. Model budget by country'!C67+'3. Model budget by country'!C87+'3. Model budget by country'!C90+'3. Model budget by country'!C93+'3. Model budget by country'!C99</f>
        <v>70857.669564158699</v>
      </c>
      <c r="F9" s="8">
        <f t="shared" si="0"/>
        <v>66308.62900102303</v>
      </c>
      <c r="G9" s="181"/>
      <c r="H9" s="176"/>
    </row>
    <row r="10" spans="2:13" x14ac:dyDescent="0.2">
      <c r="B10" s="178" t="s">
        <v>18</v>
      </c>
      <c r="C10" s="179"/>
      <c r="D10" s="9">
        <v>0</v>
      </c>
      <c r="E10" s="9">
        <v>0</v>
      </c>
      <c r="F10" s="9">
        <f t="shared" si="0"/>
        <v>0</v>
      </c>
      <c r="G10" s="182"/>
      <c r="H10" s="177"/>
    </row>
    <row r="11" spans="2:13" x14ac:dyDescent="0.2">
      <c r="B11" s="173" t="s">
        <v>19</v>
      </c>
      <c r="C11" s="174"/>
      <c r="D11" s="7"/>
      <c r="E11" s="7"/>
      <c r="F11" s="7"/>
      <c r="G11" s="7"/>
      <c r="H11" s="7"/>
    </row>
    <row r="12" spans="2:13" x14ac:dyDescent="0.2">
      <c r="B12" s="178" t="s">
        <v>20</v>
      </c>
      <c r="C12" s="179"/>
      <c r="D12" s="9">
        <v>136932.85421437462</v>
      </c>
      <c r="E12" s="9">
        <f>'3. Model budget by country'!C54+'3. Model budget by country'!C68+'3. Model budget by country'!C69+'3. Model budget by country'!C70+'3. Model budget by country'!C71+'3. Model budget by country'!C72+'3. Model budget by country'!C73+'3. Model budget by country'!C100+'3. Model budget by country'!C36</f>
        <v>77266.921199999997</v>
      </c>
      <c r="F12" s="9">
        <f>D12-E12</f>
        <v>59665.933014374619</v>
      </c>
      <c r="G12" s="180">
        <f>IFERROR(SUM(E12:E17)/SUM(D12:D17), 0)</f>
        <v>0.41322863175775409</v>
      </c>
      <c r="H12" s="183" t="s">
        <v>129</v>
      </c>
    </row>
    <row r="13" spans="2:13" ht="15" x14ac:dyDescent="0.2">
      <c r="B13" s="171" t="s">
        <v>21</v>
      </c>
      <c r="C13" s="172"/>
      <c r="D13" s="8">
        <v>208692.85559699271</v>
      </c>
      <c r="E13" s="8">
        <f>'3. Model budget by country'!C101+'3. Model budget by country'!C92+'3. Model budget by country'!C91+'3. Model budget by country'!C74+'3. Model budget by country'!C75+'3. Model budget by country'!C76+'3. Model budget by country'!C77+'3. Model budget by country'!C55+'3. Model budget by country'!C38</f>
        <v>116609.32742863096</v>
      </c>
      <c r="F13" s="8">
        <f>D13-E13</f>
        <v>92083.52816836175</v>
      </c>
      <c r="G13" s="181"/>
      <c r="H13" s="184"/>
      <c r="M13" s="136"/>
    </row>
    <row r="14" spans="2:13" ht="15" x14ac:dyDescent="0.2">
      <c r="B14" s="178" t="s">
        <v>22</v>
      </c>
      <c r="C14" s="179"/>
      <c r="D14" s="9">
        <v>66352.739654654637</v>
      </c>
      <c r="E14" s="9">
        <f>'3. Model budget by country'!C56+'3. Model budget by country'!C78+'3. Model budget by country'!C79+'3. Model budget by country'!C80+'3. Model budget by country'!C81+'3. Model budget by country'!C82</f>
        <v>19942.259999999998</v>
      </c>
      <c r="F14" s="9">
        <f t="shared" ref="F14:F17" si="1">D14-E14</f>
        <v>46410.479654654642</v>
      </c>
      <c r="G14" s="181"/>
      <c r="H14" s="184"/>
      <c r="M14" s="136"/>
    </row>
    <row r="15" spans="2:13" ht="29.45" customHeight="1" x14ac:dyDescent="0.2">
      <c r="B15" s="171" t="s">
        <v>23</v>
      </c>
      <c r="C15" s="172"/>
      <c r="D15" s="8">
        <v>29166.666666666668</v>
      </c>
      <c r="E15" s="8">
        <v>0</v>
      </c>
      <c r="F15" s="8">
        <f t="shared" si="1"/>
        <v>29166.666666666668</v>
      </c>
      <c r="G15" s="181"/>
      <c r="H15" s="184"/>
    </row>
    <row r="16" spans="2:13" ht="45.75" customHeight="1" x14ac:dyDescent="0.2">
      <c r="B16" s="178" t="s">
        <v>24</v>
      </c>
      <c r="C16" s="179"/>
      <c r="D16" s="9">
        <v>42777.777777777781</v>
      </c>
      <c r="E16" s="9">
        <f>'3. Model budget by country'!C102</f>
        <v>8995.07</v>
      </c>
      <c r="F16" s="9">
        <f t="shared" si="1"/>
        <v>33782.707777777781</v>
      </c>
      <c r="G16" s="181"/>
      <c r="H16" s="184"/>
    </row>
    <row r="17" spans="2:8" x14ac:dyDescent="0.2">
      <c r="B17" s="171" t="s">
        <v>25</v>
      </c>
      <c r="C17" s="172"/>
      <c r="D17" s="8">
        <v>55278.800998347026</v>
      </c>
      <c r="E17" s="8">
        <v>0</v>
      </c>
      <c r="F17" s="8">
        <f t="shared" si="1"/>
        <v>55278.800998347026</v>
      </c>
      <c r="G17" s="182"/>
      <c r="H17" s="185"/>
    </row>
    <row r="18" spans="2:8" x14ac:dyDescent="0.2">
      <c r="B18" s="186" t="s">
        <v>26</v>
      </c>
      <c r="C18" s="187"/>
      <c r="D18" s="10">
        <f>SUM(D7:D10,D12:D17)</f>
        <v>2184535.7795025934</v>
      </c>
      <c r="E18" s="10">
        <f>SUM(E7:E10,E12:E17)</f>
        <v>927391.67587041354</v>
      </c>
      <c r="F18" s="10">
        <f>SUM(F7:F10,F12:F17)</f>
        <v>1257144.1036321798</v>
      </c>
      <c r="G18" s="11"/>
      <c r="H18" s="11"/>
    </row>
    <row r="19" spans="2:8" x14ac:dyDescent="0.2">
      <c r="B19" s="188" t="s">
        <v>27</v>
      </c>
      <c r="C19" s="189"/>
      <c r="D19" s="190"/>
      <c r="E19" s="12"/>
      <c r="F19" s="12"/>
      <c r="G19" s="12"/>
      <c r="H19" s="13"/>
    </row>
    <row r="20" spans="2:8" x14ac:dyDescent="0.2">
      <c r="B20" s="173" t="s">
        <v>28</v>
      </c>
      <c r="C20" s="174"/>
      <c r="D20" s="14">
        <v>0.15</v>
      </c>
      <c r="E20" s="14">
        <v>0.15</v>
      </c>
      <c r="F20" s="14">
        <f>D20-E20</f>
        <v>0</v>
      </c>
      <c r="G20" s="14">
        <f>E20-F20</f>
        <v>0.15</v>
      </c>
      <c r="H20" s="14"/>
    </row>
    <row r="21" spans="2:8" x14ac:dyDescent="0.2">
      <c r="B21" s="193" t="s">
        <v>29</v>
      </c>
      <c r="C21" s="194"/>
      <c r="D21" s="15">
        <f>D20*D18</f>
        <v>327680.36692538898</v>
      </c>
      <c r="E21" s="15">
        <f>E20*E18</f>
        <v>139108.75138056203</v>
      </c>
      <c r="F21" s="16">
        <f>D21-E21</f>
        <v>188571.61554482696</v>
      </c>
      <c r="G21" s="17">
        <f>IFERROR(E21/D21, 0)</f>
        <v>0.42452574344265281</v>
      </c>
      <c r="H21" s="18"/>
    </row>
    <row r="22" spans="2:8" ht="13.5" thickBot="1" x14ac:dyDescent="0.25">
      <c r="B22" s="173" t="s">
        <v>30</v>
      </c>
      <c r="C22" s="174"/>
      <c r="D22" s="19">
        <f>SUM(D18,D21)</f>
        <v>2512216.1464279825</v>
      </c>
      <c r="E22" s="19">
        <f>SUM(E18,E21)</f>
        <v>1066500.4272509755</v>
      </c>
      <c r="F22" s="19">
        <f>SUM(F18,F21)</f>
        <v>1445715.7191770067</v>
      </c>
      <c r="G22" s="20"/>
      <c r="H22" s="20"/>
    </row>
    <row r="23" spans="2:8" x14ac:dyDescent="0.2">
      <c r="B23" s="195" t="s">
        <v>27</v>
      </c>
      <c r="C23" s="196"/>
      <c r="D23" s="21"/>
      <c r="E23" s="21"/>
      <c r="F23" s="21"/>
      <c r="G23" s="21"/>
      <c r="H23" s="21"/>
    </row>
    <row r="24" spans="2:8" x14ac:dyDescent="0.2">
      <c r="B24" s="173" t="s">
        <v>31</v>
      </c>
      <c r="C24" s="174"/>
      <c r="D24" s="7"/>
      <c r="E24" s="7"/>
      <c r="F24" s="7"/>
      <c r="G24" s="7"/>
      <c r="H24" s="7"/>
    </row>
    <row r="25" spans="2:8" x14ac:dyDescent="0.2">
      <c r="B25" s="178" t="s">
        <v>32</v>
      </c>
      <c r="C25" s="179"/>
      <c r="D25" s="9">
        <v>0</v>
      </c>
      <c r="E25" s="9">
        <v>0</v>
      </c>
      <c r="F25" s="9">
        <f>D25-E25</f>
        <v>0</v>
      </c>
      <c r="G25" s="22">
        <f>IFERROR(E25/D25, 0)</f>
        <v>0</v>
      </c>
      <c r="H25" s="23"/>
    </row>
    <row r="26" spans="2:8" ht="13.5" thickBot="1" x14ac:dyDescent="0.25">
      <c r="B26" s="173" t="s">
        <v>33</v>
      </c>
      <c r="C26" s="174"/>
      <c r="D26" s="19">
        <f>SUM(D22,D25)</f>
        <v>2512216.1464279825</v>
      </c>
      <c r="E26" s="19">
        <f>SUM(E22,E25)</f>
        <v>1066500.4272509755</v>
      </c>
      <c r="F26" s="19">
        <f>SUM(F22,F25)</f>
        <v>1445715.7191770067</v>
      </c>
      <c r="G26" s="19"/>
      <c r="H26" s="19"/>
    </row>
    <row r="27" spans="2:8" x14ac:dyDescent="0.2">
      <c r="B27" s="195" t="s">
        <v>27</v>
      </c>
      <c r="C27" s="196"/>
      <c r="D27" s="21"/>
      <c r="E27" s="21"/>
      <c r="F27" s="21"/>
      <c r="G27" s="21"/>
      <c r="H27" s="21"/>
    </row>
    <row r="28" spans="2:8" x14ac:dyDescent="0.2">
      <c r="B28" s="173" t="s">
        <v>34</v>
      </c>
      <c r="C28" s="174"/>
      <c r="D28" s="14">
        <v>0</v>
      </c>
      <c r="E28" s="14">
        <v>0</v>
      </c>
      <c r="F28" s="14">
        <f>D28-E28</f>
        <v>0</v>
      </c>
      <c r="G28" s="14"/>
      <c r="H28" s="14"/>
    </row>
    <row r="29" spans="2:8" x14ac:dyDescent="0.2">
      <c r="B29" s="197" t="s">
        <v>35</v>
      </c>
      <c r="C29" s="198"/>
      <c r="D29" s="9">
        <f>D28*D26</f>
        <v>0</v>
      </c>
      <c r="E29" s="9">
        <f>E28*E26</f>
        <v>0</v>
      </c>
      <c r="F29" s="9">
        <f>D29-E29</f>
        <v>0</v>
      </c>
      <c r="G29" s="22">
        <f>IFERROR(E29/D29, 0)</f>
        <v>0</v>
      </c>
      <c r="H29" s="23"/>
    </row>
    <row r="30" spans="2:8" x14ac:dyDescent="0.2">
      <c r="B30" s="173" t="s">
        <v>36</v>
      </c>
      <c r="C30" s="174"/>
      <c r="D30" s="19">
        <f>SUM(D26,D29)</f>
        <v>2512216.1464279825</v>
      </c>
      <c r="E30" s="19">
        <f>SUM(E26,E29)</f>
        <v>1066500.4272509755</v>
      </c>
      <c r="F30" s="19">
        <f>SUM(F26,F29)</f>
        <v>1445715.7191770067</v>
      </c>
      <c r="G30" s="20"/>
      <c r="H30" s="20"/>
    </row>
    <row r="31" spans="2:8" x14ac:dyDescent="0.2">
      <c r="B31" s="24"/>
      <c r="C31" s="25"/>
      <c r="D31" s="21"/>
      <c r="E31" s="21"/>
      <c r="F31" s="21"/>
      <c r="G31" s="21"/>
      <c r="H31" s="21"/>
    </row>
    <row r="32" spans="2:8" x14ac:dyDescent="0.2">
      <c r="B32" s="199" t="s">
        <v>37</v>
      </c>
      <c r="C32" s="200"/>
      <c r="D32" s="26"/>
      <c r="E32" s="26"/>
      <c r="F32" s="26"/>
      <c r="G32" s="3"/>
    </row>
    <row r="33" spans="2:7" x14ac:dyDescent="0.2">
      <c r="B33" s="191" t="s">
        <v>38</v>
      </c>
      <c r="C33" s="192"/>
      <c r="D33" s="27">
        <v>0</v>
      </c>
      <c r="E33" s="27">
        <v>0</v>
      </c>
      <c r="F33" s="27">
        <f>D33-E33</f>
        <v>0</v>
      </c>
      <c r="G33" s="3"/>
    </row>
    <row r="34" spans="2:7" x14ac:dyDescent="0.2">
      <c r="B34" s="201" t="s">
        <v>39</v>
      </c>
      <c r="C34" s="202"/>
      <c r="D34" s="9">
        <v>0</v>
      </c>
      <c r="E34" s="9">
        <v>0</v>
      </c>
      <c r="F34" s="9">
        <f t="shared" ref="F34:F41" si="2">D34-E34</f>
        <v>0</v>
      </c>
      <c r="G34" s="3"/>
    </row>
    <row r="35" spans="2:7" x14ac:dyDescent="0.2">
      <c r="B35" s="191" t="s">
        <v>40</v>
      </c>
      <c r="C35" s="192"/>
      <c r="D35" s="27">
        <v>0</v>
      </c>
      <c r="E35" s="27">
        <v>0</v>
      </c>
      <c r="F35" s="27">
        <f t="shared" si="2"/>
        <v>0</v>
      </c>
      <c r="G35" s="3"/>
    </row>
    <row r="36" spans="2:7" x14ac:dyDescent="0.2">
      <c r="B36" s="201" t="s">
        <v>41</v>
      </c>
      <c r="C36" s="202"/>
      <c r="D36" s="9">
        <v>0</v>
      </c>
      <c r="E36" s="9">
        <v>0</v>
      </c>
      <c r="F36" s="9">
        <f t="shared" si="2"/>
        <v>0</v>
      </c>
      <c r="G36" s="3"/>
    </row>
    <row r="37" spans="2:7" x14ac:dyDescent="0.2">
      <c r="B37" s="191" t="s">
        <v>42</v>
      </c>
      <c r="C37" s="192"/>
      <c r="D37" s="27">
        <v>0</v>
      </c>
      <c r="E37" s="27">
        <v>0</v>
      </c>
      <c r="F37" s="27">
        <f t="shared" si="2"/>
        <v>0</v>
      </c>
      <c r="G37" s="3"/>
    </row>
    <row r="38" spans="2:7" x14ac:dyDescent="0.2">
      <c r="B38" s="201" t="s">
        <v>43</v>
      </c>
      <c r="C38" s="202"/>
      <c r="D38" s="9">
        <v>0</v>
      </c>
      <c r="E38" s="9">
        <v>0</v>
      </c>
      <c r="F38" s="9">
        <f t="shared" si="2"/>
        <v>0</v>
      </c>
      <c r="G38" s="3"/>
    </row>
    <row r="39" spans="2:7" x14ac:dyDescent="0.2">
      <c r="B39" s="191" t="s">
        <v>44</v>
      </c>
      <c r="C39" s="192"/>
      <c r="D39" s="27">
        <v>0</v>
      </c>
      <c r="E39" s="27">
        <v>0</v>
      </c>
      <c r="F39" s="27">
        <f t="shared" si="2"/>
        <v>0</v>
      </c>
      <c r="G39" s="3"/>
    </row>
    <row r="40" spans="2:7" x14ac:dyDescent="0.2">
      <c r="B40" s="201" t="s">
        <v>45</v>
      </c>
      <c r="C40" s="202"/>
      <c r="D40" s="9">
        <v>0</v>
      </c>
      <c r="E40" s="9">
        <v>0</v>
      </c>
      <c r="F40" s="9">
        <f t="shared" si="2"/>
        <v>0</v>
      </c>
      <c r="G40" s="3"/>
    </row>
    <row r="41" spans="2:7" x14ac:dyDescent="0.2">
      <c r="B41" s="191" t="s">
        <v>46</v>
      </c>
      <c r="C41" s="192"/>
      <c r="D41" s="27">
        <v>0</v>
      </c>
      <c r="E41" s="27">
        <v>0</v>
      </c>
      <c r="F41" s="27">
        <f t="shared" si="2"/>
        <v>0</v>
      </c>
      <c r="G41" s="3"/>
    </row>
    <row r="42" spans="2:7" x14ac:dyDescent="0.2">
      <c r="B42" s="199" t="s">
        <v>47</v>
      </c>
      <c r="C42" s="200"/>
      <c r="D42" s="28">
        <f>SUM(D33:D41)</f>
        <v>0</v>
      </c>
      <c r="E42" s="28">
        <f>SUM(E33:E41)</f>
        <v>0</v>
      </c>
      <c r="F42" s="28">
        <f>SUM(F33:F41)</f>
        <v>0</v>
      </c>
      <c r="G42" s="3"/>
    </row>
    <row r="43" spans="2:7" ht="13.5" thickBot="1" x14ac:dyDescent="0.25">
      <c r="B43" s="29"/>
      <c r="C43" s="30"/>
      <c r="D43" s="31"/>
      <c r="E43" s="31"/>
      <c r="F43" s="31"/>
      <c r="G43" s="3"/>
    </row>
    <row r="44" spans="2:7" x14ac:dyDescent="0.2">
      <c r="G44" s="3"/>
    </row>
    <row r="45" spans="2:7" x14ac:dyDescent="0.2">
      <c r="G45" s="3"/>
    </row>
    <row r="46" spans="2:7" x14ac:dyDescent="0.2">
      <c r="G46" s="3"/>
    </row>
  </sheetData>
  <mergeCells count="43">
    <mergeCell ref="B40:C40"/>
    <mergeCell ref="B41:C41"/>
    <mergeCell ref="B42:C42"/>
    <mergeCell ref="B34:C34"/>
    <mergeCell ref="B35:C35"/>
    <mergeCell ref="B36:C36"/>
    <mergeCell ref="B37:C37"/>
    <mergeCell ref="B38:C38"/>
    <mergeCell ref="B39:C39"/>
    <mergeCell ref="B19:D19"/>
    <mergeCell ref="B33:C33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20:C20"/>
    <mergeCell ref="H7:H10"/>
    <mergeCell ref="B8:C8"/>
    <mergeCell ref="B9:C9"/>
    <mergeCell ref="B10:C10"/>
    <mergeCell ref="B11:C11"/>
    <mergeCell ref="B12:C12"/>
    <mergeCell ref="G12:G17"/>
    <mergeCell ref="H12:H17"/>
    <mergeCell ref="B13:C13"/>
    <mergeCell ref="B14:C14"/>
    <mergeCell ref="G7:G10"/>
    <mergeCell ref="B15:C15"/>
    <mergeCell ref="B16:C16"/>
    <mergeCell ref="B17:C17"/>
    <mergeCell ref="B18:C18"/>
    <mergeCell ref="B2:D2"/>
    <mergeCell ref="B3:D3"/>
    <mergeCell ref="B5:C5"/>
    <mergeCell ref="B6:C6"/>
    <mergeCell ref="B7:C7"/>
  </mergeCells>
  <conditionalFormatting sqref="B21:C21">
    <cfRule type="expression" dxfId="0" priority="1">
      <formula>#REF!=""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AD65-81D8-4A6A-8956-8BEA2E045384}">
  <dimension ref="B1:T35"/>
  <sheetViews>
    <sheetView zoomScale="115" zoomScaleNormal="115" workbookViewId="0">
      <selection activeCell="P10" sqref="P10:Q10"/>
    </sheetView>
  </sheetViews>
  <sheetFormatPr defaultColWidth="9" defaultRowHeight="11.25" x14ac:dyDescent="0.15"/>
  <cols>
    <col min="1" max="1" width="5.28515625" style="33" customWidth="1"/>
    <col min="2" max="2" width="47.28515625" style="33" customWidth="1"/>
    <col min="3" max="3" width="10.140625" style="33" customWidth="1"/>
    <col min="4" max="4" width="31.140625" style="33" customWidth="1"/>
    <col min="5" max="5" width="24.140625" style="33" customWidth="1"/>
    <col min="6" max="6" width="21.42578125" style="33" customWidth="1"/>
    <col min="7" max="7" width="18.5703125" style="33" customWidth="1"/>
    <col min="8" max="8" width="17.140625" style="33" customWidth="1"/>
    <col min="9" max="10" width="27.5703125" style="33" customWidth="1"/>
    <col min="11" max="12" width="17" style="33" customWidth="1"/>
    <col min="13" max="13" width="18.42578125" style="33" customWidth="1"/>
    <col min="14" max="14" width="3.5703125" style="33" customWidth="1"/>
    <col min="15" max="15" width="9" style="33"/>
    <col min="16" max="16" width="18.140625" style="33" customWidth="1"/>
    <col min="17" max="17" width="17" style="33" customWidth="1"/>
    <col min="18" max="18" width="11.7109375" style="33" bestFit="1" customWidth="1"/>
    <col min="19" max="19" width="10.140625" style="33" bestFit="1" customWidth="1"/>
    <col min="20" max="20" width="11.7109375" style="33" bestFit="1" customWidth="1"/>
    <col min="21" max="16384" width="9" style="33"/>
  </cols>
  <sheetData>
    <row r="1" spans="2:19" ht="26.25" x14ac:dyDescent="0.35">
      <c r="B1" s="32" t="s">
        <v>48</v>
      </c>
    </row>
    <row r="3" spans="2:19" ht="12.75" thickBot="1" x14ac:dyDescent="0.25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19" ht="12.75" thickBot="1" x14ac:dyDescent="0.25">
      <c r="B4" s="216" t="s">
        <v>27</v>
      </c>
      <c r="C4" s="217"/>
      <c r="D4" s="35" t="s">
        <v>49</v>
      </c>
      <c r="E4" s="35"/>
      <c r="F4" s="35"/>
      <c r="G4" s="35"/>
      <c r="H4" s="35"/>
      <c r="I4" s="35" t="s">
        <v>50</v>
      </c>
      <c r="J4" s="35"/>
      <c r="K4" s="35" t="s">
        <v>51</v>
      </c>
      <c r="L4" s="35"/>
      <c r="M4" s="35"/>
      <c r="N4" s="34"/>
    </row>
    <row r="5" spans="2:19" ht="68.099999999999994" customHeight="1" thickBot="1" x14ac:dyDescent="0.2">
      <c r="B5" s="218" t="s">
        <v>8</v>
      </c>
      <c r="C5" s="219"/>
      <c r="D5" s="36" t="s">
        <v>52</v>
      </c>
      <c r="E5" s="37" t="s">
        <v>53</v>
      </c>
      <c r="F5" s="37" t="s">
        <v>149</v>
      </c>
      <c r="G5" s="37" t="s">
        <v>150</v>
      </c>
      <c r="H5" s="37" t="s">
        <v>13</v>
      </c>
      <c r="I5" s="37" t="s">
        <v>54</v>
      </c>
      <c r="J5" s="37" t="s">
        <v>55</v>
      </c>
      <c r="K5" s="37" t="s">
        <v>11</v>
      </c>
      <c r="L5" s="37" t="s">
        <v>12</v>
      </c>
      <c r="M5" s="37" t="s">
        <v>13</v>
      </c>
      <c r="P5" s="155" t="s">
        <v>155</v>
      </c>
      <c r="Q5" s="155" t="s">
        <v>156</v>
      </c>
    </row>
    <row r="6" spans="2:19" ht="15" x14ac:dyDescent="0.25">
      <c r="B6" s="220" t="s">
        <v>14</v>
      </c>
      <c r="C6" s="221"/>
      <c r="D6" s="222"/>
      <c r="E6" s="223"/>
      <c r="F6" s="223"/>
      <c r="G6" s="223"/>
      <c r="H6" s="223"/>
      <c r="I6" s="224"/>
      <c r="J6" s="38"/>
      <c r="K6" s="39"/>
      <c r="L6" s="225">
        <f>IFERROR(SUM(I7:I10)/SUM(J7:J10), 0)</f>
        <v>2.4396179600963745</v>
      </c>
      <c r="M6" s="203"/>
      <c r="P6" s="133"/>
      <c r="Q6" s="133"/>
    </row>
    <row r="7" spans="2:19" ht="15" x14ac:dyDescent="0.25">
      <c r="B7" s="206" t="str">
        <f>'[1]1. Model budget by year'!B12</f>
        <v>A. Staff costs for non-local personnel of applicant</v>
      </c>
      <c r="C7" s="207"/>
      <c r="D7" s="40">
        <f>992896.740771518*P7</f>
        <v>499446.9492437407</v>
      </c>
      <c r="E7" s="41">
        <f>'1. Model budget by year'!E7*'2. Model budget by result'!P7</f>
        <v>232203.71190235915</v>
      </c>
      <c r="F7" s="41">
        <f>E7-D7</f>
        <v>-267243.23734138155</v>
      </c>
      <c r="G7" s="208">
        <f>IFERROR(SUM(D7:D10)/SUM(E7:E10), 0)</f>
        <v>2.1395351047100997</v>
      </c>
      <c r="H7" s="211"/>
      <c r="I7" s="42">
        <f>'1. Model budget by year'!D7*'2. Model budget by result'!Q7</f>
        <v>493449.79152777756</v>
      </c>
      <c r="J7" s="43">
        <f>'1. Model budget by year'!E7*'2. Model budget by result'!Q7</f>
        <v>229415.50329558086</v>
      </c>
      <c r="K7" s="44">
        <f>J7-I7</f>
        <v>-264034.2882321967</v>
      </c>
      <c r="L7" s="226"/>
      <c r="M7" s="204"/>
      <c r="P7" s="156">
        <v>0.50302003092048797</v>
      </c>
      <c r="Q7" s="156">
        <v>0.49697996907951214</v>
      </c>
    </row>
    <row r="8" spans="2:19" ht="15" x14ac:dyDescent="0.25">
      <c r="B8" s="214" t="str">
        <f>'[1]1. Model budget by year'!B13</f>
        <v>B. Staff costs for local personnel of applicant</v>
      </c>
      <c r="C8" s="215"/>
      <c r="D8" s="45">
        <f>515271.04525708*P8</f>
        <v>0</v>
      </c>
      <c r="E8" s="46">
        <f>D8*P8</f>
        <v>0</v>
      </c>
      <c r="F8" s="46">
        <f>E8-D8</f>
        <v>0</v>
      </c>
      <c r="G8" s="209"/>
      <c r="H8" s="212"/>
      <c r="I8" s="47">
        <f>'1. Model budget by year'!D8*'2. Model budget by result'!Q8</f>
        <v>515271.04525707994</v>
      </c>
      <c r="J8" s="48">
        <f>'1. Model budget by year'!E8*'2. Model budget by result'!Q8</f>
        <v>172101.21247968409</v>
      </c>
      <c r="K8" s="49">
        <f>J8-I8</f>
        <v>-343169.83277739584</v>
      </c>
      <c r="L8" s="226"/>
      <c r="M8" s="204"/>
      <c r="P8" s="156">
        <v>0</v>
      </c>
      <c r="Q8" s="156">
        <v>1</v>
      </c>
    </row>
    <row r="9" spans="2:19" ht="15" x14ac:dyDescent="0.25">
      <c r="B9" s="228" t="s">
        <v>17</v>
      </c>
      <c r="C9" s="229"/>
      <c r="D9" s="50">
        <f>137166.298565182*P9</f>
        <v>25074.22530191853</v>
      </c>
      <c r="E9" s="51">
        <f>'1. Model budget by year'!E9*'2. Model budget by result'!P9</f>
        <v>12952.898704752282</v>
      </c>
      <c r="F9" s="41">
        <f>E9-D9</f>
        <v>-12121.326597166248</v>
      </c>
      <c r="G9" s="209"/>
      <c r="H9" s="212"/>
      <c r="I9" s="52">
        <f>'1. Model budget by year'!D9*'2. Model budget by result'!Q9</f>
        <v>112092.07326326327</v>
      </c>
      <c r="J9" s="53">
        <f>'1. Model budget by year'!E9*'2. Model budget by result'!Q9</f>
        <v>57904.770859406424</v>
      </c>
      <c r="K9" s="44">
        <f>J9-I9</f>
        <v>-54187.302403856847</v>
      </c>
      <c r="L9" s="226"/>
      <c r="M9" s="204"/>
      <c r="P9" s="156">
        <v>0.1828016470824512</v>
      </c>
      <c r="Q9" s="156">
        <v>0.81719835291754894</v>
      </c>
    </row>
    <row r="10" spans="2:19" s="57" customFormat="1" ht="16.5" customHeight="1" thickBot="1" x14ac:dyDescent="0.3">
      <c r="B10" s="230" t="s">
        <v>18</v>
      </c>
      <c r="C10" s="231"/>
      <c r="D10" s="45">
        <v>0</v>
      </c>
      <c r="E10" s="54"/>
      <c r="F10" s="46">
        <f>E10-D10</f>
        <v>0</v>
      </c>
      <c r="G10" s="210"/>
      <c r="H10" s="213"/>
      <c r="I10" s="55"/>
      <c r="J10" s="56"/>
      <c r="K10" s="49">
        <f>J10-I10</f>
        <v>0</v>
      </c>
      <c r="L10" s="227"/>
      <c r="M10" s="205"/>
      <c r="P10" s="135"/>
      <c r="Q10" s="135"/>
      <c r="S10" s="33"/>
    </row>
    <row r="11" spans="2:19" ht="36.75" thickBot="1" x14ac:dyDescent="0.3">
      <c r="B11" s="232" t="s">
        <v>27</v>
      </c>
      <c r="C11" s="233"/>
      <c r="D11" s="36" t="str">
        <f>D5</f>
        <v>Budget Result 1 - 
Evidence-based policy influencing</v>
      </c>
      <c r="E11" s="37" t="s">
        <v>53</v>
      </c>
      <c r="F11" s="37" t="s">
        <v>11</v>
      </c>
      <c r="G11" s="37" t="s">
        <v>12</v>
      </c>
      <c r="H11" s="37" t="s">
        <v>13</v>
      </c>
      <c r="I11" s="37" t="str">
        <f>I5</f>
        <v>Budget Result 2 -  Country-level adaptive locally led programming</v>
      </c>
      <c r="J11" s="37" t="s">
        <v>55</v>
      </c>
      <c r="K11" s="37" t="s">
        <v>11</v>
      </c>
      <c r="L11" s="37" t="s">
        <v>12</v>
      </c>
      <c r="M11" s="37" t="s">
        <v>13</v>
      </c>
      <c r="P11"/>
      <c r="Q11"/>
    </row>
    <row r="12" spans="2:19" ht="12.6" customHeight="1" thickBot="1" x14ac:dyDescent="0.3">
      <c r="B12" s="234" t="s">
        <v>19</v>
      </c>
      <c r="C12" s="235"/>
      <c r="D12" s="59"/>
      <c r="E12" s="59"/>
      <c r="F12" s="59">
        <f>E12-D12</f>
        <v>0</v>
      </c>
      <c r="G12" s="60"/>
      <c r="H12" s="60"/>
      <c r="I12" s="61"/>
      <c r="J12" s="62"/>
      <c r="K12" s="63"/>
      <c r="L12" s="64"/>
      <c r="M12" s="58"/>
      <c r="P12"/>
      <c r="Q12"/>
    </row>
    <row r="13" spans="2:19" ht="15" x14ac:dyDescent="0.25">
      <c r="B13" s="230" t="s">
        <v>20</v>
      </c>
      <c r="C13" s="236"/>
      <c r="D13" s="149">
        <f>136932.854214375*P13</f>
        <v>60450.594106492943</v>
      </c>
      <c r="E13" s="65">
        <f>'1. Model budget by year'!E12*'2. Model budget by result'!P13</f>
        <v>34110.377075812372</v>
      </c>
      <c r="F13" s="65">
        <f>E13-D13</f>
        <v>-26340.217030680571</v>
      </c>
      <c r="G13" s="248">
        <f>IFERROR(SUM(D12:D17)/SUM(E12:E17), 0)</f>
        <v>1.9402200328582493</v>
      </c>
      <c r="H13" s="237"/>
      <c r="I13" s="66">
        <f>'1. Model budget by year'!D12*'2. Model budget by result'!Q13</f>
        <v>76482.260107881826</v>
      </c>
      <c r="J13" s="67">
        <f>'1. Model budget by year'!E12*'2. Model budget by result'!Q13</f>
        <v>43156.544124187618</v>
      </c>
      <c r="K13" s="68">
        <f>J13-I13</f>
        <v>-33325.715983694208</v>
      </c>
      <c r="L13" s="239">
        <f>IFERROR(SUM(I13:I19)/SUM(J13:J19), 0)</f>
        <v>2.3728286870011157</v>
      </c>
      <c r="M13" s="241"/>
      <c r="P13" s="156">
        <v>0.44146157949687237</v>
      </c>
      <c r="Q13" s="156">
        <v>0.55853842050312752</v>
      </c>
    </row>
    <row r="14" spans="2:19" ht="15" x14ac:dyDescent="0.25">
      <c r="B14" s="228" t="s">
        <v>21</v>
      </c>
      <c r="C14" s="243"/>
      <c r="D14" s="150">
        <f>208692.855596993*P14</f>
        <v>35889.403169569181</v>
      </c>
      <c r="E14" s="59">
        <f>'1. Model budget by year'!E13*'2. Model budget by result'!P14</f>
        <v>20053.581390922995</v>
      </c>
      <c r="F14" s="59">
        <f t="shared" ref="F14:F18" si="0">E14-D14</f>
        <v>-15835.821778646186</v>
      </c>
      <c r="G14" s="249"/>
      <c r="H14" s="238"/>
      <c r="I14" s="69">
        <f>'1. Model budget by year'!D13*'2. Model budget by result'!Q14</f>
        <v>172803.45242742353</v>
      </c>
      <c r="J14" s="70">
        <f>'1. Model budget by year'!E13*'2. Model budget by result'!Q14</f>
        <v>96555.746037707941</v>
      </c>
      <c r="K14" s="71">
        <f>J14-I14</f>
        <v>-76247.706389715589</v>
      </c>
      <c r="L14" s="240"/>
      <c r="M14" s="242"/>
      <c r="P14" s="156">
        <v>0.17197236132929844</v>
      </c>
      <c r="Q14" s="156">
        <v>0.82802763867070139</v>
      </c>
    </row>
    <row r="15" spans="2:19" ht="15" x14ac:dyDescent="0.25">
      <c r="B15" s="230" t="s">
        <v>22</v>
      </c>
      <c r="C15" s="236"/>
      <c r="D15" s="149">
        <f>66352.7396546546*P15</f>
        <v>0</v>
      </c>
      <c r="E15" s="65">
        <f>'1. Model budget by year'!E14*'2. Model budget by result'!P15</f>
        <v>0</v>
      </c>
      <c r="F15" s="65">
        <f t="shared" si="0"/>
        <v>0</v>
      </c>
      <c r="G15" s="249"/>
      <c r="H15" s="238"/>
      <c r="I15" s="72">
        <f>'1. Model budget by year'!D14*'2. Model budget by result'!Q15</f>
        <v>66352.739654654637</v>
      </c>
      <c r="J15" s="73">
        <f>'1. Model budget by year'!E14*'2. Model budget by result'!Q15</f>
        <v>19942.259999999998</v>
      </c>
      <c r="K15" s="74">
        <f t="shared" ref="K15:K19" si="1">J15-I15</f>
        <v>-46410.479654654642</v>
      </c>
      <c r="L15" s="240"/>
      <c r="M15" s="242"/>
      <c r="P15" s="156">
        <v>0</v>
      </c>
      <c r="Q15" s="156">
        <v>1</v>
      </c>
    </row>
    <row r="16" spans="2:19" ht="15" x14ac:dyDescent="0.25">
      <c r="B16" s="244" t="s">
        <v>56</v>
      </c>
      <c r="C16" s="245"/>
      <c r="D16" s="150">
        <f>29166.6666666667*P16</f>
        <v>8750.0000000000091</v>
      </c>
      <c r="E16" s="59">
        <f>'1. Model budget by year'!E15*'2. Model budget by result'!P16</f>
        <v>0</v>
      </c>
      <c r="F16" s="59">
        <f t="shared" si="0"/>
        <v>-8750.0000000000091</v>
      </c>
      <c r="G16" s="249"/>
      <c r="H16" s="238"/>
      <c r="I16" s="69">
        <f>'1. Model budget by year'!D15*'2. Model budget by result'!Q16</f>
        <v>20416.666666666668</v>
      </c>
      <c r="J16" s="70">
        <f>'1. Model budget by year'!E15*'2. Model budget by result'!Q16</f>
        <v>0</v>
      </c>
      <c r="K16" s="71">
        <f t="shared" si="1"/>
        <v>-20416.666666666668</v>
      </c>
      <c r="L16" s="240"/>
      <c r="M16" s="242"/>
      <c r="P16" s="156">
        <v>0.3</v>
      </c>
      <c r="Q16" s="156">
        <v>0.7</v>
      </c>
    </row>
    <row r="17" spans="2:20" ht="21" customHeight="1" x14ac:dyDescent="0.25">
      <c r="B17" s="246" t="s">
        <v>57</v>
      </c>
      <c r="C17" s="247"/>
      <c r="D17" s="149">
        <f>42777.7777777778*P17</f>
        <v>0</v>
      </c>
      <c r="E17" s="65"/>
      <c r="F17" s="65">
        <f>E17-D17</f>
        <v>0</v>
      </c>
      <c r="G17" s="249"/>
      <c r="H17" s="238"/>
      <c r="I17" s="75">
        <f>'1. Model budget by year'!D16*'2. Model budget by result'!Q17</f>
        <v>42777.777777777781</v>
      </c>
      <c r="J17" s="76"/>
      <c r="K17" s="74">
        <f t="shared" si="1"/>
        <v>-42777.777777777781</v>
      </c>
      <c r="L17" s="240"/>
      <c r="M17" s="242"/>
      <c r="P17" s="156">
        <v>0</v>
      </c>
      <c r="Q17" s="156">
        <v>1</v>
      </c>
      <c r="S17" s="160"/>
    </row>
    <row r="18" spans="2:20" ht="25.5" customHeight="1" thickBot="1" x14ac:dyDescent="0.3">
      <c r="B18" s="244" t="s">
        <v>58</v>
      </c>
      <c r="C18" s="243"/>
      <c r="D18" s="151">
        <f>55278.800998347*P18</f>
        <v>55278.800998346996</v>
      </c>
      <c r="E18" s="77">
        <f>'1. Model budget by year'!E16*'2. Model budget by result'!P18</f>
        <v>8995.07</v>
      </c>
      <c r="F18" s="59">
        <f t="shared" si="0"/>
        <v>-46283.730998346997</v>
      </c>
      <c r="G18" s="249"/>
      <c r="H18" s="238"/>
      <c r="I18" s="78">
        <f>'1. Model budget by year'!D17*'2. Model budget by result'!Q18</f>
        <v>0</v>
      </c>
      <c r="J18" s="79">
        <f>'1. Model budget by year'!E17*'2. Model budget by result'!Q18</f>
        <v>0</v>
      </c>
      <c r="K18" s="71">
        <f t="shared" si="1"/>
        <v>0</v>
      </c>
      <c r="L18" s="240"/>
      <c r="M18" s="242"/>
      <c r="P18" s="156">
        <v>1</v>
      </c>
      <c r="Q18" s="156">
        <v>0</v>
      </c>
    </row>
    <row r="19" spans="2:20" ht="15.75" thickBot="1" x14ac:dyDescent="0.3">
      <c r="B19" s="80" t="s">
        <v>27</v>
      </c>
      <c r="C19" s="81"/>
      <c r="G19" s="249"/>
      <c r="H19" s="238"/>
      <c r="I19" s="82"/>
      <c r="J19" s="83"/>
      <c r="K19" s="84">
        <f t="shared" si="1"/>
        <v>0</v>
      </c>
      <c r="L19" s="240"/>
      <c r="M19" s="242"/>
      <c r="P19"/>
      <c r="Q19"/>
    </row>
    <row r="20" spans="2:20" ht="12.75" thickBot="1" x14ac:dyDescent="0.2">
      <c r="B20" s="252" t="s">
        <v>26</v>
      </c>
      <c r="C20" s="253"/>
      <c r="D20" s="152">
        <f>SUM(D13:D18,D7:D10)</f>
        <v>684889.97282006848</v>
      </c>
      <c r="E20" s="152">
        <f>SUM(E13:E18,E7:E10)</f>
        <v>308315.6390738468</v>
      </c>
      <c r="F20" s="152">
        <f>SUM(F13:F18,F7:F10)</f>
        <v>-376574.33374622156</v>
      </c>
      <c r="G20" s="85"/>
      <c r="H20" s="85"/>
      <c r="I20" s="152">
        <f>SUM(I13:I18,I7:I10)</f>
        <v>1499645.8066825252</v>
      </c>
      <c r="J20" s="152">
        <f>SUM(J13:J18,J7:J10)</f>
        <v>619076.03679656691</v>
      </c>
      <c r="K20" s="152">
        <f>SUM(K13:K18,K7:K10)</f>
        <v>-880569.76988595829</v>
      </c>
      <c r="L20" s="85"/>
      <c r="M20" s="86"/>
      <c r="N20" s="87"/>
      <c r="O20" s="88"/>
      <c r="Q20" s="160"/>
      <c r="R20" s="160"/>
      <c r="S20" s="160"/>
      <c r="T20" s="160"/>
    </row>
    <row r="21" spans="2:20" ht="36.75" thickBot="1" x14ac:dyDescent="0.2">
      <c r="B21" s="250" t="s">
        <v>27</v>
      </c>
      <c r="C21" s="251"/>
      <c r="D21" s="36" t="str">
        <f>D11</f>
        <v>Budget Result 1 - 
Evidence-based policy influencing</v>
      </c>
      <c r="E21" s="37" t="s">
        <v>53</v>
      </c>
      <c r="F21" s="37" t="s">
        <v>11</v>
      </c>
      <c r="G21" s="37" t="s">
        <v>12</v>
      </c>
      <c r="H21" s="37" t="s">
        <v>13</v>
      </c>
      <c r="I21" s="37" t="str">
        <f>I11</f>
        <v>Budget Result 2 -  Country-level adaptive locally led programming</v>
      </c>
      <c r="J21" s="37" t="s">
        <v>55</v>
      </c>
      <c r="K21" s="37" t="s">
        <v>11</v>
      </c>
      <c r="L21" s="37" t="s">
        <v>12</v>
      </c>
      <c r="M21" s="37" t="s">
        <v>13</v>
      </c>
    </row>
    <row r="22" spans="2:20" ht="12.75" thickBot="1" x14ac:dyDescent="0.2">
      <c r="B22" s="254" t="s">
        <v>59</v>
      </c>
      <c r="C22" s="255"/>
      <c r="D22" s="158">
        <v>0.15</v>
      </c>
      <c r="E22" s="60"/>
      <c r="F22" s="60"/>
      <c r="G22" s="60"/>
      <c r="H22" s="60"/>
      <c r="I22" s="61"/>
      <c r="J22" s="89"/>
      <c r="K22" s="90"/>
      <c r="L22" s="91"/>
      <c r="M22" s="92"/>
    </row>
    <row r="23" spans="2:20" ht="12" x14ac:dyDescent="0.15">
      <c r="B23" s="256" t="s">
        <v>60</v>
      </c>
      <c r="C23" s="257"/>
      <c r="D23" s="93">
        <f>$D$22*D20</f>
        <v>102733.49592301027</v>
      </c>
      <c r="E23" s="93">
        <f>$D$22*E20</f>
        <v>46247.345861077018</v>
      </c>
      <c r="F23" s="94">
        <f>E23-D23</f>
        <v>-56486.150061933251</v>
      </c>
      <c r="G23" s="95">
        <f>IFERROR(D23/E23, 0)</f>
        <v>2.2213922552790968</v>
      </c>
      <c r="H23" s="94"/>
      <c r="I23" s="96">
        <f>$D$22*I20</f>
        <v>224946.87100237879</v>
      </c>
      <c r="J23" s="96">
        <f>$D$22*J20</f>
        <v>92861.405519485037</v>
      </c>
      <c r="K23" s="96">
        <f>$D$22*K20</f>
        <v>-132085.46548289375</v>
      </c>
      <c r="L23" s="95">
        <f>IFERROR(I23/J23, 0)</f>
        <v>2.4223935632244804</v>
      </c>
      <c r="M23" s="96"/>
    </row>
    <row r="24" spans="2:20" ht="12.75" thickBot="1" x14ac:dyDescent="0.2">
      <c r="B24" s="254" t="s">
        <v>61</v>
      </c>
      <c r="C24" s="255"/>
      <c r="D24" s="157">
        <f>D20+D23</f>
        <v>787623.46874307876</v>
      </c>
      <c r="E24" s="157">
        <f>E20+E23</f>
        <v>354562.98493492382</v>
      </c>
      <c r="F24" s="157">
        <f>F20+F23</f>
        <v>-433060.48380815482</v>
      </c>
      <c r="G24" s="60"/>
      <c r="H24" s="60"/>
      <c r="I24" s="157">
        <f>I20+I23</f>
        <v>1724592.6776849041</v>
      </c>
      <c r="J24" s="157">
        <f>J20+J23</f>
        <v>711937.44231605192</v>
      </c>
      <c r="K24" s="157">
        <f>K20+K23</f>
        <v>-1012655.235368852</v>
      </c>
      <c r="L24" s="60"/>
      <c r="M24" s="61"/>
      <c r="N24" s="88"/>
      <c r="O24" s="88"/>
    </row>
    <row r="25" spans="2:20" ht="36.75" thickBot="1" x14ac:dyDescent="0.2">
      <c r="B25" s="250" t="s">
        <v>27</v>
      </c>
      <c r="C25" s="251"/>
      <c r="D25" s="36" t="str">
        <f>D21</f>
        <v>Budget Result 1 - 
Evidence-based policy influencing</v>
      </c>
      <c r="E25" s="37" t="s">
        <v>53</v>
      </c>
      <c r="F25" s="37" t="s">
        <v>11</v>
      </c>
      <c r="G25" s="37" t="s">
        <v>12</v>
      </c>
      <c r="H25" s="37" t="s">
        <v>13</v>
      </c>
      <c r="I25" s="37" t="str">
        <f>I21</f>
        <v>Budget Result 2 -  Country-level adaptive locally led programming</v>
      </c>
      <c r="J25" s="37" t="s">
        <v>55</v>
      </c>
      <c r="K25" s="37" t="str">
        <f>K21</f>
        <v>Difference 
1 January - 31 December</v>
      </c>
      <c r="L25" s="37" t="s">
        <v>12</v>
      </c>
      <c r="M25" s="37" t="s">
        <v>13</v>
      </c>
    </row>
    <row r="26" spans="2:20" ht="12" x14ac:dyDescent="0.15">
      <c r="B26" s="254" t="s">
        <v>31</v>
      </c>
      <c r="C26" s="255"/>
      <c r="D26" s="97"/>
      <c r="E26" s="98"/>
      <c r="F26" s="98"/>
      <c r="G26" s="98"/>
      <c r="H26" s="98"/>
      <c r="I26" s="99"/>
      <c r="J26" s="98"/>
      <c r="K26" s="98"/>
      <c r="L26" s="100"/>
      <c r="M26" s="101"/>
    </row>
    <row r="27" spans="2:20" ht="12" x14ac:dyDescent="0.15">
      <c r="B27" s="230" t="s">
        <v>32</v>
      </c>
      <c r="C27" s="231"/>
      <c r="D27" s="102">
        <v>0</v>
      </c>
      <c r="E27" s="103"/>
      <c r="F27" s="103">
        <f>E27-D27</f>
        <v>0</v>
      </c>
      <c r="G27" s="104">
        <f>IFERROR(D27/E27, 0)</f>
        <v>0</v>
      </c>
      <c r="H27" s="103"/>
      <c r="I27" s="105"/>
      <c r="J27" s="106"/>
      <c r="K27" s="107">
        <f>J27-D28</f>
        <v>-787623.46874307876</v>
      </c>
      <c r="L27" s="108">
        <f>IFERROR(J27/I27, 0)</f>
        <v>0</v>
      </c>
      <c r="M27" s="105"/>
    </row>
    <row r="28" spans="2:20" ht="12.75" thickBot="1" x14ac:dyDescent="0.2">
      <c r="B28" s="254" t="s">
        <v>33</v>
      </c>
      <c r="C28" s="255"/>
      <c r="D28" s="157">
        <f>D26+D24</f>
        <v>787623.46874307876</v>
      </c>
      <c r="E28" s="157">
        <f>E26+E24</f>
        <v>354562.98493492382</v>
      </c>
      <c r="F28" s="157">
        <f>F26+F24</f>
        <v>-433060.48380815482</v>
      </c>
      <c r="G28" s="60"/>
      <c r="H28" s="60"/>
      <c r="I28" s="157">
        <f>I26+I24</f>
        <v>1724592.6776849041</v>
      </c>
      <c r="J28" s="157">
        <f>J26+J24</f>
        <v>711937.44231605192</v>
      </c>
      <c r="K28" s="157">
        <f>K26+K24</f>
        <v>-1012655.235368852</v>
      </c>
      <c r="L28" s="60"/>
      <c r="M28" s="61"/>
      <c r="N28" s="88"/>
      <c r="O28" s="88"/>
    </row>
    <row r="29" spans="2:20" ht="36.75" thickBot="1" x14ac:dyDescent="0.2">
      <c r="B29" s="250" t="s">
        <v>27</v>
      </c>
      <c r="C29" s="251"/>
      <c r="D29" s="36" t="str">
        <f>D21</f>
        <v>Budget Result 1 - 
Evidence-based policy influencing</v>
      </c>
      <c r="E29" s="37" t="s">
        <v>53</v>
      </c>
      <c r="F29" s="37" t="s">
        <v>11</v>
      </c>
      <c r="G29" s="37" t="s">
        <v>12</v>
      </c>
      <c r="H29" s="37" t="s">
        <v>13</v>
      </c>
      <c r="I29" s="37" t="str">
        <f>I21</f>
        <v>Budget Result 2 -  Country-level adaptive locally led programming</v>
      </c>
      <c r="J29" s="37" t="s">
        <v>55</v>
      </c>
      <c r="K29" s="37" t="s">
        <v>11</v>
      </c>
      <c r="L29" s="37" t="s">
        <v>12</v>
      </c>
      <c r="M29" s="37" t="s">
        <v>13</v>
      </c>
    </row>
    <row r="30" spans="2:20" ht="12" x14ac:dyDescent="0.15">
      <c r="B30" s="254" t="s">
        <v>62</v>
      </c>
      <c r="C30" s="255"/>
      <c r="D30" s="109"/>
      <c r="E30" s="110"/>
      <c r="F30" s="110"/>
      <c r="G30" s="110"/>
      <c r="H30" s="110"/>
      <c r="I30" s="111"/>
      <c r="J30" s="112"/>
      <c r="K30" s="110"/>
      <c r="L30" s="113"/>
      <c r="M30" s="111"/>
    </row>
    <row r="31" spans="2:20" ht="12" x14ac:dyDescent="0.15">
      <c r="B31" s="258" t="s">
        <v>63</v>
      </c>
      <c r="C31" s="259"/>
      <c r="D31" s="114">
        <v>0</v>
      </c>
      <c r="E31" s="59"/>
      <c r="F31" s="59">
        <f>E31-D31</f>
        <v>0</v>
      </c>
      <c r="G31" s="115">
        <f>IFERROR(D31/E31, 0)</f>
        <v>0</v>
      </c>
      <c r="H31" s="59"/>
      <c r="I31" s="116"/>
      <c r="J31" s="117"/>
      <c r="K31" s="59"/>
      <c r="L31" s="118">
        <f>IFERROR(J31/I31, 0)</f>
        <v>0</v>
      </c>
      <c r="M31" s="116"/>
    </row>
    <row r="32" spans="2:20" ht="16.5" thickBot="1" x14ac:dyDescent="0.2">
      <c r="B32" s="260" t="s">
        <v>64</v>
      </c>
      <c r="C32" s="261"/>
      <c r="D32" s="119">
        <f>D28+D31</f>
        <v>787623.46874307876</v>
      </c>
      <c r="E32" s="119">
        <f>E28+E31</f>
        <v>354562.98493492382</v>
      </c>
      <c r="F32" s="119">
        <f>F28+F31</f>
        <v>-433060.48380815482</v>
      </c>
      <c r="G32" s="120"/>
      <c r="H32" s="120"/>
      <c r="I32" s="121">
        <f>I28+I31</f>
        <v>1724592.6776849041</v>
      </c>
      <c r="J32" s="119">
        <f>J28+J31</f>
        <v>711937.44231605192</v>
      </c>
      <c r="K32" s="119">
        <f>K28+K31</f>
        <v>-1012655.235368852</v>
      </c>
      <c r="L32" s="122"/>
      <c r="M32" s="121"/>
    </row>
    <row r="33" spans="2:13" ht="12.75" thickBot="1" x14ac:dyDescent="0.2">
      <c r="B33" s="262" t="s">
        <v>27</v>
      </c>
      <c r="C33" s="263"/>
      <c r="D33" s="123" t="s">
        <v>49</v>
      </c>
      <c r="E33" s="124"/>
      <c r="F33" s="124"/>
      <c r="G33" s="124"/>
      <c r="H33" s="124"/>
      <c r="I33" s="124" t="s">
        <v>50</v>
      </c>
      <c r="J33" s="124"/>
      <c r="K33" s="124" t="s">
        <v>65</v>
      </c>
      <c r="L33" s="125"/>
      <c r="M33" s="124"/>
    </row>
    <row r="35" spans="2:13" x14ac:dyDescent="0.15">
      <c r="I35" s="159">
        <f>D32+I32</f>
        <v>2512216.146427983</v>
      </c>
    </row>
  </sheetData>
  <mergeCells count="38"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M13:M19"/>
    <mergeCell ref="B14:C14"/>
    <mergeCell ref="B15:C15"/>
    <mergeCell ref="B16:C16"/>
    <mergeCell ref="B17:C17"/>
    <mergeCell ref="B18:C18"/>
    <mergeCell ref="G13:G19"/>
    <mergeCell ref="B11:C11"/>
    <mergeCell ref="B12:C12"/>
    <mergeCell ref="B13:C13"/>
    <mergeCell ref="H13:H19"/>
    <mergeCell ref="L13:L19"/>
    <mergeCell ref="B4:C4"/>
    <mergeCell ref="B5:C5"/>
    <mergeCell ref="B6:C6"/>
    <mergeCell ref="D6:I6"/>
    <mergeCell ref="L6:L10"/>
    <mergeCell ref="B9:C9"/>
    <mergeCell ref="B10:C10"/>
    <mergeCell ref="M6:M10"/>
    <mergeCell ref="B7:C7"/>
    <mergeCell ref="G7:G10"/>
    <mergeCell ref="H7:H10"/>
    <mergeCell ref="B8:C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7EE5-30A7-45B4-8366-B72452E7D63E}">
  <dimension ref="B1:AE110"/>
  <sheetViews>
    <sheetView tabSelected="1" zoomScale="115" zoomScaleNormal="115" workbookViewId="0">
      <selection activeCell="U32" sqref="U32"/>
    </sheetView>
  </sheetViews>
  <sheetFormatPr defaultColWidth="9" defaultRowHeight="12.75" x14ac:dyDescent="0.2"/>
  <cols>
    <col min="1" max="1" width="3" style="3" customWidth="1"/>
    <col min="2" max="2" width="17.42578125" style="2" customWidth="1"/>
    <col min="3" max="3" width="19.140625" style="2" customWidth="1"/>
    <col min="4" max="5" width="17.28515625" style="2" customWidth="1"/>
    <col min="6" max="6" width="17.7109375" style="2" customWidth="1"/>
    <col min="7" max="7" width="17.85546875" style="2" customWidth="1"/>
    <col min="8" max="8" width="15.42578125" style="2" customWidth="1"/>
    <col min="9" max="10" width="18.42578125" style="2" customWidth="1"/>
    <col min="11" max="11" width="21.7109375" style="2" customWidth="1"/>
    <col min="12" max="12" width="18" style="2" customWidth="1"/>
    <col min="13" max="13" width="14.28515625" style="2" customWidth="1"/>
    <col min="14" max="14" width="13.42578125" style="2" customWidth="1"/>
    <col min="15" max="15" width="15.85546875" style="2" customWidth="1"/>
    <col min="16" max="16" width="18.7109375" style="2" customWidth="1"/>
    <col min="17" max="17" width="14.42578125" style="2" customWidth="1"/>
    <col min="18" max="18" width="13.42578125" style="2" customWidth="1"/>
    <col min="19" max="19" width="18.5703125" style="2" customWidth="1"/>
    <col min="20" max="20" width="14.28515625" style="2" customWidth="1"/>
    <col min="21" max="21" width="16.85546875" style="2" customWidth="1"/>
    <col min="22" max="22" width="17.28515625" style="2" customWidth="1"/>
    <col min="23" max="23" width="13.85546875" style="2" customWidth="1"/>
    <col min="24" max="24" width="21.7109375" style="2" customWidth="1"/>
    <col min="25" max="25" width="2.5703125" style="2" customWidth="1"/>
    <col min="26" max="26" width="19" style="2" customWidth="1"/>
    <col min="27" max="29" width="15.42578125" style="2" customWidth="1"/>
    <col min="30" max="30" width="3.140625" style="2" customWidth="1"/>
    <col min="31" max="31" width="19.140625" style="2" customWidth="1"/>
    <col min="32" max="16384" width="9" style="3"/>
  </cols>
  <sheetData>
    <row r="1" spans="2:31" ht="13.5" thickBot="1" x14ac:dyDescent="0.25"/>
    <row r="2" spans="2:31" ht="31.5" customHeight="1" x14ac:dyDescent="0.2">
      <c r="B2" s="161" t="s">
        <v>152</v>
      </c>
      <c r="C2" s="162"/>
      <c r="D2" s="163"/>
      <c r="E2" s="5"/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2:31" ht="30.75" customHeight="1" thickBot="1" x14ac:dyDescent="0.25">
      <c r="B3" s="164" t="s">
        <v>66</v>
      </c>
      <c r="C3" s="165"/>
      <c r="D3" s="166"/>
      <c r="E3" s="5"/>
      <c r="F3" s="5"/>
      <c r="G3" s="5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2:31" ht="9.75" customHeight="1" x14ac:dyDescent="0.2">
      <c r="B4" s="4"/>
      <c r="C4" s="5"/>
      <c r="D4" s="5"/>
      <c r="E4" s="5"/>
      <c r="F4" s="5"/>
      <c r="G4" s="5"/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2:31" ht="15.75" customHeight="1" x14ac:dyDescent="0.2">
      <c r="B5" s="126" t="s">
        <v>67</v>
      </c>
      <c r="C5" s="5"/>
      <c r="D5" s="5"/>
      <c r="E5" s="5"/>
      <c r="F5" s="5"/>
      <c r="G5" s="5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2:31" ht="9" customHeight="1" thickBot="1" x14ac:dyDescent="0.2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2:31" ht="26.25" customHeight="1" thickBot="1" x14ac:dyDescent="0.25">
      <c r="D7" s="325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7"/>
    </row>
    <row r="8" spans="2:31" ht="51" x14ac:dyDescent="0.2">
      <c r="B8" s="167" t="s">
        <v>8</v>
      </c>
      <c r="C8" s="168"/>
      <c r="D8" s="6" t="s">
        <v>131</v>
      </c>
      <c r="E8" s="6" t="s">
        <v>68</v>
      </c>
      <c r="F8" s="6" t="s">
        <v>149</v>
      </c>
      <c r="G8" s="6" t="s">
        <v>150</v>
      </c>
      <c r="H8" s="6" t="s">
        <v>13</v>
      </c>
      <c r="I8" s="6" t="s">
        <v>146</v>
      </c>
      <c r="J8" s="6" t="s">
        <v>69</v>
      </c>
      <c r="K8" s="6" t="s">
        <v>149</v>
      </c>
      <c r="L8" s="6" t="s">
        <v>150</v>
      </c>
      <c r="M8" s="6" t="s">
        <v>13</v>
      </c>
      <c r="N8" s="6" t="s">
        <v>151</v>
      </c>
      <c r="O8" s="6" t="s">
        <v>70</v>
      </c>
      <c r="P8" s="6" t="s">
        <v>149</v>
      </c>
      <c r="Q8" s="6" t="s">
        <v>150</v>
      </c>
      <c r="R8" s="6" t="s">
        <v>13</v>
      </c>
      <c r="S8" s="6" t="s">
        <v>148</v>
      </c>
      <c r="T8" s="6" t="s">
        <v>71</v>
      </c>
      <c r="U8" s="6" t="s">
        <v>149</v>
      </c>
      <c r="V8" s="6" t="s">
        <v>12</v>
      </c>
      <c r="W8" s="6" t="s">
        <v>13</v>
      </c>
      <c r="X8" s="6" t="s">
        <v>72</v>
      </c>
      <c r="Y8" s="127"/>
      <c r="Z8" s="6" t="s">
        <v>153</v>
      </c>
      <c r="AA8" s="6" t="s">
        <v>154</v>
      </c>
      <c r="AB8" s="6" t="s">
        <v>149</v>
      </c>
      <c r="AC8" s="6" t="s">
        <v>12</v>
      </c>
      <c r="AD8" s="127"/>
      <c r="AE8" s="6" t="s">
        <v>73</v>
      </c>
    </row>
    <row r="9" spans="2:31" ht="15" x14ac:dyDescent="0.25">
      <c r="B9" s="171" t="s">
        <v>130</v>
      </c>
      <c r="C9" s="172"/>
      <c r="D9" s="8">
        <f>D29</f>
        <v>376538.05821343837</v>
      </c>
      <c r="E9" s="8">
        <f>C40</f>
        <v>294412.26697247376</v>
      </c>
      <c r="F9" s="8">
        <f>E9-D9</f>
        <v>-82125.791240964609</v>
      </c>
      <c r="G9" s="128">
        <f>IFERROR(E9/D9, 0)</f>
        <v>0.78189245562420129</v>
      </c>
      <c r="H9" s="8"/>
      <c r="I9" s="8">
        <f>G29</f>
        <v>444119.12222222227</v>
      </c>
      <c r="J9" s="8">
        <f>C57</f>
        <v>116643.6</v>
      </c>
      <c r="K9" s="8">
        <f>J9-I9</f>
        <v>-327475.52222222229</v>
      </c>
      <c r="L9" s="128">
        <f>IFERROR(J9/I9, 0)</f>
        <v>0.26264034616738585</v>
      </c>
      <c r="M9" s="8"/>
      <c r="N9" s="8">
        <f>F29</f>
        <v>408190.93663726386</v>
      </c>
      <c r="O9" s="8">
        <f>C83</f>
        <v>179086.49000000002</v>
      </c>
      <c r="P9" s="8">
        <f>O9-N9</f>
        <v>-229104.44663726384</v>
      </c>
      <c r="Q9" s="128">
        <f>IFERROR(O9/N9, 0)</f>
        <v>0.43873215675815957</v>
      </c>
      <c r="R9" s="8"/>
      <c r="S9" s="8">
        <f>E29</f>
        <v>391262.03293226776</v>
      </c>
      <c r="T9" s="8">
        <f>C94</f>
        <v>65985.069999999992</v>
      </c>
      <c r="U9" s="8">
        <f>T9-S9</f>
        <v>-325276.96293226775</v>
      </c>
      <c r="V9" s="128">
        <f>IFERROR(T9/S9, 0)</f>
        <v>0.16864674935485707</v>
      </c>
      <c r="W9" s="8"/>
      <c r="X9" s="8">
        <f>SUM(D9:V9)</f>
        <v>1312256.5058566558</v>
      </c>
      <c r="Y9" s="129"/>
      <c r="Z9" s="8">
        <f>I29</f>
        <v>1086550.4410554769</v>
      </c>
      <c r="AA9" s="8">
        <f>C104</f>
        <v>271264.24889793998</v>
      </c>
      <c r="AB9" s="8">
        <f>AA9-Z9</f>
        <v>-815286.19215753698</v>
      </c>
      <c r="AC9" s="154">
        <f>AA9/Z9</f>
        <v>0.24965637916858552</v>
      </c>
      <c r="AD9" s="129"/>
      <c r="AE9" s="8">
        <f>SUM(X9,Z9)</f>
        <v>2398806.9469121327</v>
      </c>
    </row>
    <row r="10" spans="2:31" ht="15" x14ac:dyDescent="0.25">
      <c r="B10" s="173" t="s">
        <v>74</v>
      </c>
      <c r="C10" s="174"/>
      <c r="D10" s="130">
        <f>SUM(D9)</f>
        <v>376538.05821343837</v>
      </c>
      <c r="E10" s="130">
        <f>SUM(E9)</f>
        <v>294412.26697247376</v>
      </c>
      <c r="F10" s="130">
        <f>E10-D10</f>
        <v>-82125.791240964609</v>
      </c>
      <c r="G10" s="131">
        <f>IFERROR(E10/D10, 0)</f>
        <v>0.78189245562420129</v>
      </c>
      <c r="H10" s="130"/>
      <c r="I10" s="130">
        <f t="shared" ref="I10:S10" si="0">SUM(I9)</f>
        <v>444119.12222222227</v>
      </c>
      <c r="J10" s="130">
        <f>SUM(J9)</f>
        <v>116643.6</v>
      </c>
      <c r="K10" s="130">
        <f>J10-I10</f>
        <v>-327475.52222222229</v>
      </c>
      <c r="L10" s="131">
        <f>IFERROR(J10/I10, 0)</f>
        <v>0.26264034616738585</v>
      </c>
      <c r="M10" s="130"/>
      <c r="N10" s="130">
        <f t="shared" si="0"/>
        <v>408190.93663726386</v>
      </c>
      <c r="O10" s="130">
        <f>SUM(O9)</f>
        <v>179086.49000000002</v>
      </c>
      <c r="P10" s="130">
        <f>O10-N10</f>
        <v>-229104.44663726384</v>
      </c>
      <c r="Q10" s="131">
        <f>IFERROR(O10/N10, 0)</f>
        <v>0.43873215675815957</v>
      </c>
      <c r="R10" s="130"/>
      <c r="S10" s="130">
        <f t="shared" si="0"/>
        <v>391262.03293226776</v>
      </c>
      <c r="T10" s="130">
        <f>SUM(T9)</f>
        <v>65985.069999999992</v>
      </c>
      <c r="U10" s="130">
        <f>T10-S10</f>
        <v>-325276.96293226775</v>
      </c>
      <c r="V10" s="131">
        <f>IFERROR(T10/S10, 0)</f>
        <v>0.16864674935485707</v>
      </c>
      <c r="W10" s="130"/>
      <c r="X10" s="19">
        <f>SUM(D10:V10)</f>
        <v>1312256.5058566558</v>
      </c>
      <c r="Y10" s="129"/>
      <c r="Z10" s="19">
        <f>SUM(Z9)</f>
        <v>1086550.4410554769</v>
      </c>
      <c r="AA10" s="130">
        <f>SUM(AA9)</f>
        <v>271264.24889793998</v>
      </c>
      <c r="AB10" s="130">
        <f>AA10-Z10</f>
        <v>-815286.19215753698</v>
      </c>
      <c r="AC10" s="131">
        <f>IFERROR(AA10/Z10, 0)</f>
        <v>0.24965637916858552</v>
      </c>
      <c r="AD10" s="129"/>
      <c r="AE10" s="132">
        <f>SUM(X10,Z10)</f>
        <v>2398806.9469121327</v>
      </c>
    </row>
    <row r="11" spans="2:31" x14ac:dyDescent="0.2">
      <c r="B11" s="24"/>
      <c r="C11" s="25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</row>
    <row r="14" spans="2:31" x14ac:dyDescent="0.2"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2:31" ht="18.75" customHeight="1" thickBot="1" x14ac:dyDescent="0.25">
      <c r="B15" s="287" t="s">
        <v>147</v>
      </c>
      <c r="C15" s="287"/>
      <c r="D15" s="287"/>
      <c r="E15" s="287"/>
      <c r="F15" s="287"/>
      <c r="G15" s="287"/>
      <c r="H15" s="287"/>
      <c r="I15" s="287"/>
      <c r="J15" s="287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2:31" ht="24" x14ac:dyDescent="0.2">
      <c r="B16" s="218" t="s">
        <v>158</v>
      </c>
      <c r="C16" s="219"/>
      <c r="D16" s="137" t="s">
        <v>132</v>
      </c>
      <c r="E16" s="137" t="s">
        <v>133</v>
      </c>
      <c r="F16" s="137" t="s">
        <v>134</v>
      </c>
      <c r="G16" s="137" t="s">
        <v>135</v>
      </c>
      <c r="H16" s="138" t="s">
        <v>136</v>
      </c>
      <c r="I16" s="1" t="s">
        <v>0</v>
      </c>
      <c r="J16" s="139" t="s">
        <v>137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2:31" x14ac:dyDescent="0.2">
      <c r="B17" s="322" t="s">
        <v>138</v>
      </c>
      <c r="C17" s="322"/>
      <c r="D17" s="59">
        <v>968240.7211202702</v>
      </c>
      <c r="E17" s="59">
        <f>1306102.37039726-300000</f>
        <v>1006102.3703972599</v>
      </c>
      <c r="F17" s="59">
        <f>1149633.83706725-100000</f>
        <v>1049633.8370672499</v>
      </c>
      <c r="G17" s="59">
        <f>1203624.8-61604.2</f>
        <v>1142020.6000000001</v>
      </c>
      <c r="H17" s="140">
        <f t="shared" ref="H17:H25" si="1">SUM(D17:G17)</f>
        <v>4165997.5285847802</v>
      </c>
      <c r="I17" s="59">
        <v>2793986.848428369</v>
      </c>
      <c r="J17" s="141">
        <f t="shared" ref="J17:J25" si="2">H17+I17</f>
        <v>6959984.3770131487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2:31" hidden="1" x14ac:dyDescent="0.2">
      <c r="B18" s="323" t="s">
        <v>51</v>
      </c>
      <c r="C18" s="324"/>
      <c r="D18" s="65">
        <v>841809.32972972956</v>
      </c>
      <c r="E18" s="65">
        <v>357113.59392661601</v>
      </c>
      <c r="F18" s="65">
        <v>574816.9185336259</v>
      </c>
      <c r="G18" s="65">
        <f>611515.416988348</f>
        <v>611515.41698834801</v>
      </c>
      <c r="H18" s="142">
        <f t="shared" si="1"/>
        <v>2385255.2591783195</v>
      </c>
      <c r="I18" s="143">
        <f>1723732.97297297-39367</f>
        <v>1684365.97297297</v>
      </c>
      <c r="J18" s="142">
        <f t="shared" si="2"/>
        <v>4069621.2321512895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2:31" hidden="1" x14ac:dyDescent="0.2">
      <c r="B19" s="322" t="s">
        <v>139</v>
      </c>
      <c r="C19" s="322"/>
      <c r="D19" s="59">
        <v>706980.02162162156</v>
      </c>
      <c r="E19" s="59">
        <v>357113.59392661601</v>
      </c>
      <c r="F19" s="144">
        <v>500000</v>
      </c>
      <c r="G19" s="59">
        <v>597544.59598834778</v>
      </c>
      <c r="H19" s="140">
        <f t="shared" si="1"/>
        <v>2161638.2115365854</v>
      </c>
      <c r="I19" s="59">
        <v>1660471.351351351</v>
      </c>
      <c r="J19" s="141">
        <f t="shared" si="2"/>
        <v>3822109.5628879364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2:31" hidden="1" x14ac:dyDescent="0.2">
      <c r="B20" s="321" t="s">
        <v>140</v>
      </c>
      <c r="C20" s="321"/>
      <c r="D20" s="65">
        <v>463274.28108108102</v>
      </c>
      <c r="E20" s="65">
        <v>428522.65654435998</v>
      </c>
      <c r="F20" s="65">
        <v>500000</v>
      </c>
      <c r="G20" s="65">
        <v>455928.50614184345</v>
      </c>
      <c r="H20" s="142">
        <f t="shared" si="1"/>
        <v>1847725.4437672845</v>
      </c>
      <c r="I20" s="143">
        <v>1560471.3513513501</v>
      </c>
      <c r="J20" s="142">
        <f t="shared" si="2"/>
        <v>3408196.7951186346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2:31" hidden="1" x14ac:dyDescent="0.2">
      <c r="B21" s="322" t="s">
        <v>141</v>
      </c>
      <c r="C21" s="322"/>
      <c r="D21" s="59">
        <v>361689.34054054052</v>
      </c>
      <c r="E21" s="59">
        <v>426172.05654436001</v>
      </c>
      <c r="F21" s="144">
        <v>500000</v>
      </c>
      <c r="G21" s="59">
        <v>400000</v>
      </c>
      <c r="H21" s="140">
        <f t="shared" si="1"/>
        <v>1687861.3970849006</v>
      </c>
      <c r="I21" s="59">
        <v>1473623.7837837799</v>
      </c>
      <c r="J21" s="141">
        <f t="shared" si="2"/>
        <v>3161485.1808686806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2:31" hidden="1" x14ac:dyDescent="0.2">
      <c r="B22" s="321" t="s">
        <v>142</v>
      </c>
      <c r="C22" s="321"/>
      <c r="D22" s="65">
        <v>350000</v>
      </c>
      <c r="E22" s="65">
        <v>400000</v>
      </c>
      <c r="F22" s="65">
        <v>400000</v>
      </c>
      <c r="G22" s="65">
        <v>300000</v>
      </c>
      <c r="H22" s="142">
        <f t="shared" si="1"/>
        <v>1450000</v>
      </c>
      <c r="I22" s="143">
        <v>1377815.13513513</v>
      </c>
      <c r="J22" s="142">
        <f t="shared" si="2"/>
        <v>2827815.13513513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2:31" hidden="1" x14ac:dyDescent="0.2">
      <c r="B23" s="322" t="s">
        <v>143</v>
      </c>
      <c r="C23" s="322"/>
      <c r="D23" s="59">
        <v>350000</v>
      </c>
      <c r="E23" s="59">
        <v>400000</v>
      </c>
      <c r="F23" s="144">
        <v>350000</v>
      </c>
      <c r="G23" s="59">
        <v>300000</v>
      </c>
      <c r="H23" s="140">
        <f t="shared" si="1"/>
        <v>1400000</v>
      </c>
      <c r="I23" s="59">
        <v>1377815.13513513</v>
      </c>
      <c r="J23" s="141">
        <f t="shared" si="2"/>
        <v>2777815.13513513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2:31" hidden="1" x14ac:dyDescent="0.2">
      <c r="B24" s="321"/>
      <c r="C24" s="321"/>
      <c r="D24" s="65"/>
      <c r="E24" s="65"/>
      <c r="F24" s="65"/>
      <c r="G24" s="65"/>
      <c r="H24" s="142">
        <f t="shared" si="1"/>
        <v>0</v>
      </c>
      <c r="I24" s="143"/>
      <c r="J24" s="142">
        <f t="shared" si="2"/>
        <v>0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2:31" ht="16.5" hidden="1" thickBot="1" x14ac:dyDescent="0.25">
      <c r="B25" s="318" t="s">
        <v>74</v>
      </c>
      <c r="C25" s="319"/>
      <c r="D25" s="145">
        <f>SUM(D17:D24)</f>
        <v>4041993.6940932428</v>
      </c>
      <c r="E25" s="145">
        <f>SUM(E17:E24)</f>
        <v>3375024.2713392116</v>
      </c>
      <c r="F25" s="145">
        <f>SUM(F17:F24)</f>
        <v>3874450.7556008757</v>
      </c>
      <c r="G25" s="145">
        <f>SUM(G17:G24)</f>
        <v>3807009.1191185392</v>
      </c>
      <c r="H25" s="145">
        <f t="shared" si="1"/>
        <v>15098477.840151869</v>
      </c>
      <c r="I25" s="145">
        <f>SUM(I17:I24)</f>
        <v>11928549.578158081</v>
      </c>
      <c r="J25" s="146">
        <f t="shared" si="2"/>
        <v>27027027.418309949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2:31" hidden="1" x14ac:dyDescent="0.2">
      <c r="B26" s="216" t="s">
        <v>27</v>
      </c>
      <c r="C26" s="217"/>
      <c r="D26" s="35" t="s">
        <v>49</v>
      </c>
      <c r="E26" s="35" t="s">
        <v>50</v>
      </c>
      <c r="F26" s="35" t="s">
        <v>51</v>
      </c>
      <c r="G26" s="35" t="s">
        <v>139</v>
      </c>
      <c r="H26" s="35" t="s">
        <v>65</v>
      </c>
      <c r="I26" s="35" t="s">
        <v>65</v>
      </c>
      <c r="J26" s="35" t="s">
        <v>65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2:31" x14ac:dyDescent="0.2">
      <c r="B27" s="33"/>
      <c r="C27" s="33"/>
      <c r="D27" s="33"/>
      <c r="E27" s="33"/>
      <c r="F27" s="33"/>
      <c r="G27" s="33"/>
      <c r="H27" s="33"/>
      <c r="I27" s="33"/>
      <c r="J27" s="3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2:31" x14ac:dyDescent="0.2">
      <c r="B28" s="147" t="s">
        <v>144</v>
      </c>
      <c r="C28" s="147"/>
      <c r="D28" s="148">
        <f>D17</f>
        <v>968240.7211202702</v>
      </c>
      <c r="E28" s="148">
        <f t="shared" ref="E28:H28" si="3">E17</f>
        <v>1006102.3703972599</v>
      </c>
      <c r="F28" s="148">
        <f t="shared" si="3"/>
        <v>1049633.8370672499</v>
      </c>
      <c r="G28" s="148">
        <f t="shared" si="3"/>
        <v>1142020.6000000001</v>
      </c>
      <c r="H28" s="148">
        <f t="shared" si="3"/>
        <v>4165997.5285847802</v>
      </c>
      <c r="I28" s="148">
        <f t="shared" ref="I28:J28" si="4">I17</f>
        <v>2793986.848428369</v>
      </c>
      <c r="J28" s="148">
        <f t="shared" si="4"/>
        <v>6959984.3770131487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2:31" x14ac:dyDescent="0.2">
      <c r="B29" s="147" t="s">
        <v>145</v>
      </c>
      <c r="C29" s="147"/>
      <c r="D29" s="148">
        <f>D28/18*7</f>
        <v>376538.05821343837</v>
      </c>
      <c r="E29" s="148">
        <f t="shared" ref="E29:H29" si="5">E28/18*7</f>
        <v>391262.03293226776</v>
      </c>
      <c r="F29" s="148">
        <f t="shared" si="5"/>
        <v>408190.93663726386</v>
      </c>
      <c r="G29" s="148">
        <f t="shared" si="5"/>
        <v>444119.12222222227</v>
      </c>
      <c r="H29" s="148">
        <f t="shared" si="5"/>
        <v>1620110.1500051925</v>
      </c>
      <c r="I29" s="148">
        <f t="shared" ref="I29:J29" si="6">I28/18*7</f>
        <v>1086550.4410554769</v>
      </c>
      <c r="J29" s="148">
        <f t="shared" si="6"/>
        <v>2706660.5910606692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1" spans="2:31" x14ac:dyDescent="0.2">
      <c r="B31" s="153" t="s">
        <v>1</v>
      </c>
    </row>
    <row r="32" spans="2:31" ht="15" x14ac:dyDescent="0.25">
      <c r="B32" s="133" t="s">
        <v>157</v>
      </c>
      <c r="C32" s="133" t="s">
        <v>76</v>
      </c>
      <c r="D32" s="270" t="s">
        <v>6</v>
      </c>
      <c r="E32" s="271"/>
      <c r="F32" s="272"/>
    </row>
    <row r="33" spans="2:6" ht="15" x14ac:dyDescent="0.25">
      <c r="B33" s="133" t="s">
        <v>112</v>
      </c>
      <c r="C33" s="329">
        <v>97629.156300000002</v>
      </c>
      <c r="D33" s="320" t="s">
        <v>15</v>
      </c>
      <c r="E33" s="320"/>
      <c r="F33" s="320"/>
    </row>
    <row r="34" spans="2:6" ht="15" x14ac:dyDescent="0.25">
      <c r="B34" s="133" t="s">
        <v>113</v>
      </c>
      <c r="C34" s="330">
        <v>107237.46247968409</v>
      </c>
      <c r="D34" s="320" t="s">
        <v>16</v>
      </c>
      <c r="E34" s="320"/>
      <c r="F34" s="320"/>
    </row>
    <row r="35" spans="2:6" ht="15" x14ac:dyDescent="0.25">
      <c r="B35" s="133" t="s">
        <v>5</v>
      </c>
      <c r="C35" s="331">
        <v>25831.059564158706</v>
      </c>
      <c r="D35" s="294" t="s">
        <v>17</v>
      </c>
      <c r="E35" s="295"/>
      <c r="F35" s="296"/>
    </row>
    <row r="36" spans="2:6" ht="15" x14ac:dyDescent="0.25">
      <c r="B36" s="133" t="s">
        <v>114</v>
      </c>
      <c r="C36" s="134">
        <v>14705.441200000001</v>
      </c>
      <c r="D36" s="316" t="s">
        <v>18</v>
      </c>
      <c r="E36" s="316"/>
      <c r="F36" s="316"/>
    </row>
    <row r="37" spans="2:6" ht="15" x14ac:dyDescent="0.25">
      <c r="B37" s="133" t="s">
        <v>115</v>
      </c>
      <c r="C37" s="331">
        <v>225.12</v>
      </c>
      <c r="D37" s="294" t="s">
        <v>17</v>
      </c>
      <c r="E37" s="295"/>
      <c r="F37" s="296"/>
    </row>
    <row r="38" spans="2:6" ht="15" x14ac:dyDescent="0.25">
      <c r="B38" s="133" t="s">
        <v>116</v>
      </c>
      <c r="C38" s="134">
        <v>39195.587428630963</v>
      </c>
      <c r="D38" s="317" t="s">
        <v>21</v>
      </c>
      <c r="E38" s="317"/>
      <c r="F38" s="317"/>
    </row>
    <row r="39" spans="2:6" ht="15" x14ac:dyDescent="0.25">
      <c r="B39" s="133" t="s">
        <v>117</v>
      </c>
      <c r="C39" s="331">
        <v>9588.4399999999987</v>
      </c>
      <c r="D39" s="294" t="s">
        <v>17</v>
      </c>
      <c r="E39" s="295"/>
      <c r="F39" s="296"/>
    </row>
    <row r="40" spans="2:6" ht="15" x14ac:dyDescent="0.25">
      <c r="B40" s="133" t="s">
        <v>75</v>
      </c>
      <c r="C40" s="134">
        <v>294412.26697247376</v>
      </c>
      <c r="D40" s="312"/>
      <c r="E40" s="312"/>
      <c r="F40" s="312"/>
    </row>
    <row r="41" spans="2:6" ht="28.5" customHeight="1" x14ac:dyDescent="0.2"/>
    <row r="42" spans="2:6" ht="28.5" customHeight="1" x14ac:dyDescent="0.2">
      <c r="B42" s="153" t="s">
        <v>2</v>
      </c>
    </row>
    <row r="43" spans="2:6" ht="15" x14ac:dyDescent="0.25">
      <c r="B43" s="133" t="s">
        <v>157</v>
      </c>
      <c r="C43" s="133" t="s">
        <v>76</v>
      </c>
      <c r="D43" s="270" t="s">
        <v>6</v>
      </c>
      <c r="E43" s="271"/>
      <c r="F43" s="272"/>
    </row>
    <row r="44" spans="2:6" ht="15" x14ac:dyDescent="0.25">
      <c r="B44" s="133" t="s">
        <v>99</v>
      </c>
      <c r="C44" s="329">
        <v>14500.1</v>
      </c>
      <c r="D44" s="264" t="s">
        <v>15</v>
      </c>
      <c r="E44" s="265"/>
      <c r="F44" s="266"/>
    </row>
    <row r="45" spans="2:6" ht="15" x14ac:dyDescent="0.25">
      <c r="B45" s="133" t="s">
        <v>100</v>
      </c>
      <c r="C45" s="329">
        <v>18665.18</v>
      </c>
      <c r="D45" s="264" t="s">
        <v>15</v>
      </c>
      <c r="E45" s="265"/>
      <c r="F45" s="266"/>
    </row>
    <row r="46" spans="2:6" ht="15" x14ac:dyDescent="0.25">
      <c r="B46" s="133" t="s">
        <v>101</v>
      </c>
      <c r="C46" s="329">
        <v>15305.18</v>
      </c>
      <c r="D46" s="264" t="s">
        <v>15</v>
      </c>
      <c r="E46" s="265"/>
      <c r="F46" s="266"/>
    </row>
    <row r="47" spans="2:6" ht="15" x14ac:dyDescent="0.25">
      <c r="B47" s="133" t="s">
        <v>102</v>
      </c>
      <c r="C47" s="329">
        <v>7200.0300000000007</v>
      </c>
      <c r="D47" s="264" t="s">
        <v>15</v>
      </c>
      <c r="E47" s="265"/>
      <c r="F47" s="266"/>
    </row>
    <row r="48" spans="2:6" ht="15" x14ac:dyDescent="0.25">
      <c r="B48" s="133" t="s">
        <v>103</v>
      </c>
      <c r="C48" s="329">
        <v>7290.99</v>
      </c>
      <c r="D48" s="264" t="s">
        <v>15</v>
      </c>
      <c r="E48" s="265"/>
      <c r="F48" s="266"/>
    </row>
    <row r="49" spans="2:6" ht="15" x14ac:dyDescent="0.25">
      <c r="B49" s="133" t="s">
        <v>104</v>
      </c>
      <c r="C49" s="330">
        <v>4867.4699999999993</v>
      </c>
      <c r="D49" s="264" t="s">
        <v>16</v>
      </c>
      <c r="E49" s="265"/>
      <c r="F49" s="266"/>
    </row>
    <row r="50" spans="2:6" ht="15" x14ac:dyDescent="0.25">
      <c r="B50" s="133" t="s">
        <v>105</v>
      </c>
      <c r="C50" s="330">
        <v>5063.829999999999</v>
      </c>
      <c r="D50" s="264" t="s">
        <v>16</v>
      </c>
      <c r="E50" s="265"/>
      <c r="F50" s="266"/>
    </row>
    <row r="51" spans="2:6" ht="15" x14ac:dyDescent="0.25">
      <c r="B51" s="133" t="s">
        <v>106</v>
      </c>
      <c r="C51" s="330">
        <v>7237.98</v>
      </c>
      <c r="D51" s="264" t="s">
        <v>16</v>
      </c>
      <c r="E51" s="265"/>
      <c r="F51" s="266"/>
    </row>
    <row r="52" spans="2:6" ht="15" x14ac:dyDescent="0.25">
      <c r="B52" s="133" t="s">
        <v>107</v>
      </c>
      <c r="C52" s="330">
        <v>11650.400000000001</v>
      </c>
      <c r="D52" s="264" t="s">
        <v>16</v>
      </c>
      <c r="E52" s="265"/>
      <c r="F52" s="266"/>
    </row>
    <row r="53" spans="2:6" ht="15" x14ac:dyDescent="0.25">
      <c r="B53" s="133" t="s">
        <v>108</v>
      </c>
      <c r="C53" s="331">
        <v>904</v>
      </c>
      <c r="D53" s="294" t="s">
        <v>17</v>
      </c>
      <c r="E53" s="295"/>
      <c r="F53" s="296"/>
    </row>
    <row r="54" spans="2:6" ht="15" x14ac:dyDescent="0.25">
      <c r="B54" s="133" t="s">
        <v>109</v>
      </c>
      <c r="C54" s="134">
        <v>10192.900000000001</v>
      </c>
      <c r="D54" s="313" t="s">
        <v>20</v>
      </c>
      <c r="E54" s="314"/>
      <c r="F54" s="315"/>
    </row>
    <row r="55" spans="2:6" ht="15" x14ac:dyDescent="0.25">
      <c r="B55" s="133" t="s">
        <v>110</v>
      </c>
      <c r="C55" s="134">
        <v>9133.7400000000016</v>
      </c>
      <c r="D55" s="309" t="s">
        <v>21</v>
      </c>
      <c r="E55" s="310"/>
      <c r="F55" s="311"/>
    </row>
    <row r="56" spans="2:6" ht="15" x14ac:dyDescent="0.25">
      <c r="B56" s="133" t="s">
        <v>111</v>
      </c>
      <c r="C56" s="134">
        <v>4631.8</v>
      </c>
      <c r="D56" s="267" t="s">
        <v>22</v>
      </c>
      <c r="E56" s="268"/>
      <c r="F56" s="269"/>
    </row>
    <row r="57" spans="2:6" ht="15" x14ac:dyDescent="0.25">
      <c r="B57" s="133" t="s">
        <v>75</v>
      </c>
      <c r="C57" s="134">
        <v>116643.6</v>
      </c>
      <c r="D57" s="267"/>
      <c r="E57" s="268"/>
      <c r="F57" s="269"/>
    </row>
    <row r="59" spans="2:6" x14ac:dyDescent="0.2">
      <c r="B59" s="153" t="s">
        <v>3</v>
      </c>
    </row>
    <row r="60" spans="2:6" ht="15" x14ac:dyDescent="0.25">
      <c r="B60" s="133" t="s">
        <v>157</v>
      </c>
      <c r="C60" s="133" t="s">
        <v>76</v>
      </c>
      <c r="D60" s="270" t="s">
        <v>6</v>
      </c>
      <c r="E60" s="271"/>
      <c r="F60" s="272"/>
    </row>
    <row r="61" spans="2:6" ht="15" x14ac:dyDescent="0.25">
      <c r="B61" s="133" t="s">
        <v>77</v>
      </c>
      <c r="C61" s="329">
        <v>16956.489999999998</v>
      </c>
      <c r="D61" s="306" t="s">
        <v>15</v>
      </c>
      <c r="E61" s="307"/>
      <c r="F61" s="308"/>
    </row>
    <row r="62" spans="2:6" ht="15" x14ac:dyDescent="0.25">
      <c r="B62" s="133" t="s">
        <v>78</v>
      </c>
      <c r="C62" s="329">
        <v>19938.2</v>
      </c>
      <c r="D62" s="306" t="s">
        <v>15</v>
      </c>
      <c r="E62" s="307"/>
      <c r="F62" s="308"/>
    </row>
    <row r="63" spans="2:6" ht="15" x14ac:dyDescent="0.25">
      <c r="B63" s="133" t="s">
        <v>79</v>
      </c>
      <c r="C63" s="329">
        <v>26050</v>
      </c>
      <c r="D63" s="306" t="s">
        <v>15</v>
      </c>
      <c r="E63" s="307"/>
      <c r="F63" s="308"/>
    </row>
    <row r="64" spans="2:6" ht="15" x14ac:dyDescent="0.25">
      <c r="B64" s="133" t="s">
        <v>80</v>
      </c>
      <c r="C64" s="329">
        <v>3825</v>
      </c>
      <c r="D64" s="306" t="s">
        <v>15</v>
      </c>
      <c r="E64" s="307"/>
      <c r="F64" s="308"/>
    </row>
    <row r="65" spans="2:6" ht="15" x14ac:dyDescent="0.25">
      <c r="B65" s="133" t="s">
        <v>81</v>
      </c>
      <c r="C65" s="330">
        <v>8045.37</v>
      </c>
      <c r="D65" s="309" t="s">
        <v>16</v>
      </c>
      <c r="E65" s="310"/>
      <c r="F65" s="311"/>
    </row>
    <row r="66" spans="2:6" ht="15" x14ac:dyDescent="0.25">
      <c r="B66" s="133" t="s">
        <v>82</v>
      </c>
      <c r="C66" s="330">
        <v>2000</v>
      </c>
      <c r="D66" s="309" t="s">
        <v>16</v>
      </c>
      <c r="E66" s="310"/>
      <c r="F66" s="311"/>
    </row>
    <row r="67" spans="2:6" ht="15" x14ac:dyDescent="0.25">
      <c r="B67" s="133" t="s">
        <v>83</v>
      </c>
      <c r="C67" s="331">
        <v>2100</v>
      </c>
      <c r="D67" s="294" t="s">
        <v>17</v>
      </c>
      <c r="E67" s="295"/>
      <c r="F67" s="296"/>
    </row>
    <row r="68" spans="2:6" ht="15" x14ac:dyDescent="0.25">
      <c r="B68" s="133" t="s">
        <v>84</v>
      </c>
      <c r="C68" s="134">
        <v>13223.749999999998</v>
      </c>
      <c r="D68" s="303" t="s">
        <v>20</v>
      </c>
      <c r="E68" s="304"/>
      <c r="F68" s="305"/>
    </row>
    <row r="69" spans="2:6" ht="15" x14ac:dyDescent="0.25">
      <c r="B69" s="133" t="s">
        <v>85</v>
      </c>
      <c r="C69" s="134">
        <v>2244.3900000000003</v>
      </c>
      <c r="D69" s="303" t="s">
        <v>20</v>
      </c>
      <c r="E69" s="304"/>
      <c r="F69" s="305"/>
    </row>
    <row r="70" spans="2:6" ht="15" x14ac:dyDescent="0.25">
      <c r="B70" s="133" t="s">
        <v>86</v>
      </c>
      <c r="C70" s="134">
        <v>18396.13</v>
      </c>
      <c r="D70" s="303" t="s">
        <v>20</v>
      </c>
      <c r="E70" s="304"/>
      <c r="F70" s="305"/>
    </row>
    <row r="71" spans="2:6" ht="15" x14ac:dyDescent="0.25">
      <c r="B71" s="133" t="s">
        <v>87</v>
      </c>
      <c r="C71" s="134">
        <v>350</v>
      </c>
      <c r="D71" s="303" t="s">
        <v>20</v>
      </c>
      <c r="E71" s="304"/>
      <c r="F71" s="305"/>
    </row>
    <row r="72" spans="2:6" ht="15" x14ac:dyDescent="0.25">
      <c r="B72" s="133" t="s">
        <v>88</v>
      </c>
      <c r="C72" s="134">
        <v>2002.1299999999999</v>
      </c>
      <c r="D72" s="303" t="s">
        <v>20</v>
      </c>
      <c r="E72" s="304"/>
      <c r="F72" s="305"/>
    </row>
    <row r="73" spans="2:6" ht="15" x14ac:dyDescent="0.25">
      <c r="B73" s="133" t="s">
        <v>89</v>
      </c>
      <c r="C73" s="134">
        <v>3461.5</v>
      </c>
      <c r="D73" s="303" t="s">
        <v>20</v>
      </c>
      <c r="E73" s="304"/>
      <c r="F73" s="305"/>
    </row>
    <row r="74" spans="2:6" ht="15" x14ac:dyDescent="0.25">
      <c r="B74" s="133" t="s">
        <v>90</v>
      </c>
      <c r="C74" s="134">
        <v>22190</v>
      </c>
      <c r="D74" s="300" t="s">
        <v>21</v>
      </c>
      <c r="E74" s="301"/>
      <c r="F74" s="302"/>
    </row>
    <row r="75" spans="2:6" ht="15" x14ac:dyDescent="0.25">
      <c r="B75" s="133" t="s">
        <v>91</v>
      </c>
      <c r="C75" s="134">
        <v>1055.69</v>
      </c>
      <c r="D75" s="300" t="s">
        <v>21</v>
      </c>
      <c r="E75" s="301"/>
      <c r="F75" s="302"/>
    </row>
    <row r="76" spans="2:6" ht="15" x14ac:dyDescent="0.25">
      <c r="B76" s="133" t="s">
        <v>92</v>
      </c>
      <c r="C76" s="134">
        <v>19117.38</v>
      </c>
      <c r="D76" s="300" t="s">
        <v>21</v>
      </c>
      <c r="E76" s="301"/>
      <c r="F76" s="302"/>
    </row>
    <row r="77" spans="2:6" ht="15" x14ac:dyDescent="0.25">
      <c r="B77" s="133" t="s">
        <v>93</v>
      </c>
      <c r="C77" s="134">
        <v>2820</v>
      </c>
      <c r="D77" s="300" t="s">
        <v>21</v>
      </c>
      <c r="E77" s="301"/>
      <c r="F77" s="302"/>
    </row>
    <row r="78" spans="2:6" ht="15" x14ac:dyDescent="0.25">
      <c r="B78" s="133" t="s">
        <v>94</v>
      </c>
      <c r="C78" s="134">
        <v>115</v>
      </c>
      <c r="D78" s="297" t="s">
        <v>22</v>
      </c>
      <c r="E78" s="298"/>
      <c r="F78" s="299"/>
    </row>
    <row r="79" spans="2:6" ht="15" x14ac:dyDescent="0.25">
      <c r="B79" s="133" t="s">
        <v>95</v>
      </c>
      <c r="C79" s="134">
        <v>40</v>
      </c>
      <c r="D79" s="297" t="s">
        <v>22</v>
      </c>
      <c r="E79" s="298"/>
      <c r="F79" s="299"/>
    </row>
    <row r="80" spans="2:6" ht="15" x14ac:dyDescent="0.25">
      <c r="B80" s="133" t="s">
        <v>96</v>
      </c>
      <c r="C80" s="134">
        <v>13409</v>
      </c>
      <c r="D80" s="297" t="s">
        <v>22</v>
      </c>
      <c r="E80" s="298"/>
      <c r="F80" s="299"/>
    </row>
    <row r="81" spans="2:6" ht="15" x14ac:dyDescent="0.25">
      <c r="B81" s="133" t="s">
        <v>97</v>
      </c>
      <c r="C81" s="134">
        <v>1301.6199999999999</v>
      </c>
      <c r="D81" s="297" t="s">
        <v>22</v>
      </c>
      <c r="E81" s="298"/>
      <c r="F81" s="299"/>
    </row>
    <row r="82" spans="2:6" ht="15" x14ac:dyDescent="0.25">
      <c r="B82" s="133" t="s">
        <v>98</v>
      </c>
      <c r="C82" s="134">
        <v>444.84000000000003</v>
      </c>
      <c r="D82" s="297" t="s">
        <v>22</v>
      </c>
      <c r="E82" s="298"/>
      <c r="F82" s="299"/>
    </row>
    <row r="83" spans="2:6" ht="15" x14ac:dyDescent="0.25">
      <c r="B83" s="133" t="s">
        <v>75</v>
      </c>
      <c r="C83" s="134">
        <v>179086.49000000002</v>
      </c>
      <c r="D83" s="267"/>
      <c r="E83" s="268"/>
      <c r="F83" s="269"/>
    </row>
    <row r="85" spans="2:6" x14ac:dyDescent="0.2">
      <c r="B85" s="153" t="s">
        <v>4</v>
      </c>
    </row>
    <row r="86" spans="2:6" ht="15" x14ac:dyDescent="0.25">
      <c r="B86" s="133" t="s">
        <v>157</v>
      </c>
      <c r="C86" s="133" t="s">
        <v>76</v>
      </c>
      <c r="D86" s="270" t="s">
        <v>6</v>
      </c>
      <c r="E86" s="271"/>
      <c r="F86" s="272"/>
    </row>
    <row r="87" spans="2:6" ht="15" x14ac:dyDescent="0.25">
      <c r="B87" s="133" t="s">
        <v>122</v>
      </c>
      <c r="C87" s="331">
        <v>2916.1599999999994</v>
      </c>
      <c r="D87" s="281" t="s">
        <v>17</v>
      </c>
      <c r="E87" s="282"/>
      <c r="F87" s="283"/>
    </row>
    <row r="88" spans="2:6" ht="15.75" x14ac:dyDescent="0.25">
      <c r="B88" s="133" t="s">
        <v>123</v>
      </c>
      <c r="C88" s="329">
        <v>25244.259999999995</v>
      </c>
      <c r="D88" s="288" t="s">
        <v>15</v>
      </c>
      <c r="E88" s="289"/>
      <c r="F88" s="290"/>
    </row>
    <row r="89" spans="2:6" ht="15.75" x14ac:dyDescent="0.25">
      <c r="B89" s="133" t="s">
        <v>124</v>
      </c>
      <c r="C89" s="330">
        <v>25998.699999999997</v>
      </c>
      <c r="D89" s="291" t="s">
        <v>16</v>
      </c>
      <c r="E89" s="292"/>
      <c r="F89" s="293"/>
    </row>
    <row r="90" spans="2:6" ht="15" x14ac:dyDescent="0.25">
      <c r="B90" s="133" t="s">
        <v>125</v>
      </c>
      <c r="C90" s="331">
        <v>4000</v>
      </c>
      <c r="D90" s="294" t="s">
        <v>17</v>
      </c>
      <c r="E90" s="295"/>
      <c r="F90" s="296"/>
    </row>
    <row r="91" spans="2:6" ht="15" x14ac:dyDescent="0.25">
      <c r="B91" s="133" t="s">
        <v>126</v>
      </c>
      <c r="C91" s="134">
        <v>5</v>
      </c>
      <c r="D91" s="278" t="s">
        <v>21</v>
      </c>
      <c r="E91" s="279"/>
      <c r="F91" s="280"/>
    </row>
    <row r="92" spans="2:6" ht="15" x14ac:dyDescent="0.25">
      <c r="B92" s="133" t="s">
        <v>127</v>
      </c>
      <c r="C92" s="134">
        <v>825</v>
      </c>
      <c r="D92" s="278" t="s">
        <v>21</v>
      </c>
      <c r="E92" s="279"/>
      <c r="F92" s="280"/>
    </row>
    <row r="93" spans="2:6" ht="15" x14ac:dyDescent="0.25">
      <c r="B93" s="133" t="s">
        <v>128</v>
      </c>
      <c r="C93" s="331">
        <v>6995.95</v>
      </c>
      <c r="D93" s="281" t="s">
        <v>17</v>
      </c>
      <c r="E93" s="282"/>
      <c r="F93" s="283"/>
    </row>
    <row r="94" spans="2:6" ht="15" x14ac:dyDescent="0.25">
      <c r="B94" s="133" t="s">
        <v>75</v>
      </c>
      <c r="C94" s="134">
        <v>65985.069999999992</v>
      </c>
      <c r="D94" s="284"/>
      <c r="E94" s="285"/>
      <c r="F94" s="286"/>
    </row>
    <row r="96" spans="2:6" x14ac:dyDescent="0.2">
      <c r="B96" s="273" t="s">
        <v>0</v>
      </c>
      <c r="C96" s="273"/>
    </row>
    <row r="97" spans="2:6" ht="15" x14ac:dyDescent="0.25">
      <c r="B97" s="133" t="s">
        <v>157</v>
      </c>
      <c r="C97" s="133" t="s">
        <v>76</v>
      </c>
      <c r="D97" s="270" t="s">
        <v>6</v>
      </c>
      <c r="E97" s="271"/>
      <c r="F97" s="272"/>
    </row>
    <row r="98" spans="2:6" ht="15" x14ac:dyDescent="0.25">
      <c r="B98" s="133" t="s">
        <v>118</v>
      </c>
      <c r="C98" s="329">
        <v>143301.85999999999</v>
      </c>
      <c r="D98" s="264" t="s">
        <v>15</v>
      </c>
      <c r="E98" s="265"/>
      <c r="F98" s="266"/>
    </row>
    <row r="99" spans="2:6" ht="15" x14ac:dyDescent="0.25">
      <c r="B99" s="133" t="s">
        <v>119</v>
      </c>
      <c r="C99" s="331">
        <v>18296.939999999999</v>
      </c>
      <c r="D99" s="264" t="s">
        <v>17</v>
      </c>
      <c r="E99" s="265"/>
      <c r="F99" s="266"/>
    </row>
    <row r="100" spans="2:6" ht="15" x14ac:dyDescent="0.25">
      <c r="B100" s="133" t="s">
        <v>109</v>
      </c>
      <c r="C100" s="134">
        <v>12690.680000000002</v>
      </c>
      <c r="D100" s="274" t="s">
        <v>20</v>
      </c>
      <c r="E100" s="179"/>
      <c r="F100" s="275"/>
    </row>
    <row r="101" spans="2:6" ht="15" x14ac:dyDescent="0.25">
      <c r="B101" s="133" t="s">
        <v>110</v>
      </c>
      <c r="C101" s="134">
        <v>22266.929999999997</v>
      </c>
      <c r="D101" s="276" t="s">
        <v>21</v>
      </c>
      <c r="E101" s="172"/>
      <c r="F101" s="277"/>
    </row>
    <row r="102" spans="2:6" ht="15" x14ac:dyDescent="0.25">
      <c r="B102" s="133" t="s">
        <v>120</v>
      </c>
      <c r="C102" s="134">
        <v>8995.07</v>
      </c>
      <c r="D102" s="264" t="s">
        <v>23</v>
      </c>
      <c r="E102" s="265"/>
      <c r="F102" s="266"/>
    </row>
    <row r="103" spans="2:6" ht="15" x14ac:dyDescent="0.25">
      <c r="B103" s="133" t="s">
        <v>121</v>
      </c>
      <c r="C103" s="329">
        <v>65712.768897940012</v>
      </c>
      <c r="D103" s="264" t="s">
        <v>15</v>
      </c>
      <c r="E103" s="265"/>
      <c r="F103" s="266"/>
    </row>
    <row r="104" spans="2:6" ht="15" x14ac:dyDescent="0.25">
      <c r="B104" s="133" t="s">
        <v>75</v>
      </c>
      <c r="C104" s="134">
        <v>271264.24889793998</v>
      </c>
      <c r="D104" s="267"/>
      <c r="E104" s="268"/>
      <c r="F104" s="269"/>
    </row>
    <row r="107" spans="2:6" x14ac:dyDescent="0.2">
      <c r="C107" s="328"/>
    </row>
    <row r="110" spans="2:6" x14ac:dyDescent="0.2">
      <c r="C110" s="328"/>
    </row>
  </sheetData>
  <mergeCells count="84">
    <mergeCell ref="B2:D2"/>
    <mergeCell ref="B3:D3"/>
    <mergeCell ref="D7:AE7"/>
    <mergeCell ref="B8:C8"/>
    <mergeCell ref="B9:C9"/>
    <mergeCell ref="B10:C10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D32:F32"/>
    <mergeCell ref="D33:F33"/>
    <mergeCell ref="D34:F34"/>
    <mergeCell ref="D35:F35"/>
    <mergeCell ref="D36:F36"/>
    <mergeCell ref="D37:F37"/>
    <mergeCell ref="D38:F38"/>
    <mergeCell ref="D39:F39"/>
    <mergeCell ref="D52:F52"/>
    <mergeCell ref="D53:F53"/>
    <mergeCell ref="D54:F54"/>
    <mergeCell ref="D55:F55"/>
    <mergeCell ref="D56:F56"/>
    <mergeCell ref="D47:F47"/>
    <mergeCell ref="D48:F48"/>
    <mergeCell ref="D49:F49"/>
    <mergeCell ref="D50:F50"/>
    <mergeCell ref="D51:F51"/>
    <mergeCell ref="D40:F40"/>
    <mergeCell ref="D43:F43"/>
    <mergeCell ref="D44:F44"/>
    <mergeCell ref="D45:F45"/>
    <mergeCell ref="D46:F46"/>
    <mergeCell ref="D57:F57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75:F75"/>
    <mergeCell ref="D76:F76"/>
    <mergeCell ref="D77:F77"/>
    <mergeCell ref="D78:F78"/>
    <mergeCell ref="D69:F69"/>
    <mergeCell ref="D70:F70"/>
    <mergeCell ref="D71:F71"/>
    <mergeCell ref="D72:F72"/>
    <mergeCell ref="D73:F73"/>
    <mergeCell ref="D91:F91"/>
    <mergeCell ref="D92:F92"/>
    <mergeCell ref="D93:F93"/>
    <mergeCell ref="D94:F94"/>
    <mergeCell ref="B15:J15"/>
    <mergeCell ref="D86:F86"/>
    <mergeCell ref="D87:F87"/>
    <mergeCell ref="D88:F88"/>
    <mergeCell ref="D89:F89"/>
    <mergeCell ref="D90:F90"/>
    <mergeCell ref="D79:F79"/>
    <mergeCell ref="D80:F80"/>
    <mergeCell ref="D81:F81"/>
    <mergeCell ref="D82:F82"/>
    <mergeCell ref="D83:F83"/>
    <mergeCell ref="D74:F74"/>
    <mergeCell ref="D103:F103"/>
    <mergeCell ref="D104:F104"/>
    <mergeCell ref="D97:F97"/>
    <mergeCell ref="B96:C96"/>
    <mergeCell ref="D98:F98"/>
    <mergeCell ref="D99:F99"/>
    <mergeCell ref="D100:F100"/>
    <mergeCell ref="D101:F101"/>
    <mergeCell ref="D102:F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Model budget by year</vt:lpstr>
      <vt:lpstr>2. Model budget by result</vt:lpstr>
      <vt:lpstr>3. Model budget by country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 Abubaker Mir Mohammad</cp:lastModifiedBy>
  <dcterms:created xsi:type="dcterms:W3CDTF">2025-01-17T11:37:53Z</dcterms:created>
  <dcterms:modified xsi:type="dcterms:W3CDTF">2025-01-20T13:23:25Z</dcterms:modified>
</cp:coreProperties>
</file>